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120" yWindow="-150" windowWidth="10995" windowHeight="93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K24" i="1" l="1"/>
  <c r="J24" i="1"/>
  <c r="F24" i="1"/>
  <c r="E24" i="1"/>
  <c r="P20" i="1"/>
  <c r="O20" i="1"/>
  <c r="K20" i="1"/>
  <c r="J20" i="1"/>
  <c r="F20" i="1"/>
  <c r="E20" i="1"/>
  <c r="F19" i="1"/>
  <c r="E19" i="1"/>
  <c r="P13" i="1"/>
  <c r="O13" i="1"/>
  <c r="K13" i="1"/>
  <c r="J13" i="1"/>
  <c r="F13" i="1"/>
  <c r="E13" i="1"/>
  <c r="F12" i="1"/>
  <c r="E12" i="1"/>
  <c r="K10" i="1"/>
  <c r="J10" i="1"/>
  <c r="F10" i="1"/>
  <c r="E10" i="1"/>
  <c r="S10" i="1" l="1"/>
  <c r="N10" i="1"/>
  <c r="G10" i="1"/>
  <c r="I10" i="1"/>
  <c r="L10" i="1" l="1"/>
  <c r="I11" i="1"/>
  <c r="Q20" i="1" l="1"/>
  <c r="S20" i="1"/>
  <c r="L20" i="1"/>
  <c r="Q10" i="1"/>
  <c r="S11" i="1"/>
  <c r="S12" i="1"/>
  <c r="S13" i="1"/>
  <c r="S14" i="1"/>
  <c r="S15" i="1"/>
  <c r="S17" i="1"/>
  <c r="S18" i="1"/>
  <c r="S19" i="1"/>
  <c r="S21" i="1"/>
  <c r="S22" i="1"/>
  <c r="S23" i="1"/>
  <c r="S24" i="1"/>
  <c r="Q12" i="1"/>
  <c r="Q13" i="1"/>
  <c r="Q14" i="1"/>
  <c r="Q15" i="1"/>
  <c r="Q17" i="1"/>
  <c r="Q18" i="1"/>
  <c r="Q19" i="1"/>
  <c r="Q21" i="1"/>
  <c r="Q22" i="1"/>
  <c r="Q23" i="1"/>
  <c r="Q24" i="1"/>
  <c r="N11" i="1"/>
  <c r="N12" i="1"/>
  <c r="N13" i="1"/>
  <c r="N14" i="1"/>
  <c r="N15" i="1"/>
  <c r="N17" i="1"/>
  <c r="N18" i="1"/>
  <c r="N19" i="1"/>
  <c r="N20" i="1"/>
  <c r="N21" i="1"/>
  <c r="N22" i="1"/>
  <c r="N23" i="1"/>
  <c r="N24" i="1"/>
  <c r="L12" i="1"/>
  <c r="L13" i="1"/>
  <c r="L14" i="1"/>
  <c r="L15" i="1"/>
  <c r="L17" i="1"/>
  <c r="L18" i="1"/>
  <c r="L19" i="1"/>
  <c r="L21" i="1"/>
  <c r="L22" i="1"/>
  <c r="L23" i="1"/>
  <c r="L24" i="1"/>
  <c r="I12" i="1"/>
  <c r="I13" i="1"/>
  <c r="I14" i="1"/>
  <c r="I15" i="1"/>
  <c r="I17" i="1"/>
  <c r="I18" i="1"/>
  <c r="I19" i="1"/>
  <c r="I20" i="1"/>
  <c r="I21" i="1"/>
  <c r="I22" i="1"/>
  <c r="I23" i="1"/>
  <c r="I24" i="1"/>
  <c r="G12" i="1"/>
  <c r="G13" i="1"/>
  <c r="G14" i="1"/>
  <c r="G15" i="1"/>
  <c r="G17" i="1"/>
  <c r="G18" i="1"/>
  <c r="G19" i="1"/>
  <c r="G21" i="1"/>
  <c r="G22" i="1"/>
  <c r="G23" i="1"/>
  <c r="G24" i="1"/>
  <c r="G20" i="1" l="1"/>
  <c r="P16" i="1" l="1"/>
  <c r="J16" i="1"/>
  <c r="F16" i="1"/>
  <c r="F9" i="1" s="1"/>
  <c r="E16" i="1"/>
  <c r="B16" i="1"/>
  <c r="B9" i="1" s="1"/>
  <c r="D21" i="1" s="1"/>
  <c r="N16" i="1" l="1"/>
  <c r="I16" i="1"/>
  <c r="J9" i="1"/>
  <c r="M22" i="1" s="1"/>
  <c r="D16" i="1"/>
  <c r="D17" i="1"/>
  <c r="D15" i="1"/>
  <c r="D24" i="1"/>
  <c r="D10" i="1"/>
  <c r="D19" i="1"/>
  <c r="D12" i="1"/>
  <c r="D20" i="1"/>
  <c r="D14" i="1"/>
  <c r="D11" i="1"/>
  <c r="D13" i="1"/>
  <c r="D22" i="1"/>
  <c r="D23" i="1"/>
  <c r="D18" i="1"/>
  <c r="F26" i="1"/>
  <c r="E9" i="1"/>
  <c r="B26" i="1"/>
  <c r="P9" i="1"/>
  <c r="C16" i="1"/>
  <c r="G16" i="1" s="1"/>
  <c r="K16" i="1"/>
  <c r="L16" i="1" s="1"/>
  <c r="O16" i="1"/>
  <c r="S16" i="1" s="1"/>
  <c r="M12" i="1" l="1"/>
  <c r="M19" i="1"/>
  <c r="M10" i="1"/>
  <c r="M11" i="1"/>
  <c r="M21" i="1"/>
  <c r="N9" i="1"/>
  <c r="M15" i="1"/>
  <c r="I9" i="1"/>
  <c r="Q16" i="1"/>
  <c r="M16" i="1"/>
  <c r="M23" i="1"/>
  <c r="M24" i="1"/>
  <c r="M14" i="1"/>
  <c r="M18" i="1"/>
  <c r="M13" i="1"/>
  <c r="M17" i="1"/>
  <c r="J26" i="1"/>
  <c r="M20" i="1"/>
  <c r="H16" i="1"/>
  <c r="H17" i="1"/>
  <c r="H15" i="1"/>
  <c r="H10" i="1"/>
  <c r="H11" i="1"/>
  <c r="H19" i="1"/>
  <c r="H22" i="1"/>
  <c r="H23" i="1"/>
  <c r="H12" i="1"/>
  <c r="H20" i="1"/>
  <c r="H13" i="1"/>
  <c r="H21" i="1"/>
  <c r="H14" i="1"/>
  <c r="H24" i="1"/>
  <c r="H18" i="1"/>
  <c r="D9" i="1"/>
  <c r="O9" i="1"/>
  <c r="E26" i="1"/>
  <c r="K9" i="1"/>
  <c r="L9" i="1" s="1"/>
  <c r="C9" i="1"/>
  <c r="G9" i="1" s="1"/>
  <c r="P26" i="1"/>
  <c r="R16" i="1" l="1"/>
  <c r="R10" i="1"/>
  <c r="Q9" i="1"/>
  <c r="M9" i="1"/>
  <c r="S9" i="1"/>
  <c r="N26" i="1"/>
  <c r="H9" i="1"/>
  <c r="R23" i="1"/>
  <c r="R15" i="1"/>
  <c r="R17" i="1"/>
  <c r="R21" i="1"/>
  <c r="R24" i="1"/>
  <c r="R18" i="1"/>
  <c r="R11" i="1"/>
  <c r="R19" i="1"/>
  <c r="R12" i="1"/>
  <c r="R20" i="1"/>
  <c r="R13" i="1"/>
  <c r="R14" i="1"/>
  <c r="R22" i="1"/>
  <c r="O26" i="1"/>
  <c r="S26" i="1" s="1"/>
  <c r="C26" i="1"/>
  <c r="K26" i="1"/>
  <c r="R9" i="1" l="1"/>
</calcChain>
</file>

<file path=xl/sharedStrings.xml><?xml version="1.0" encoding="utf-8"?>
<sst xmlns="http://schemas.openxmlformats.org/spreadsheetml/2006/main" count="65" uniqueCount="50">
  <si>
    <t>Структура и динамика расходов областного бюджета по разделам классификации расходов</t>
  </si>
  <si>
    <t>2025 год</t>
  </si>
  <si>
    <t>Всего</t>
  </si>
  <si>
    <t>в том числе за счет средств областного бюджета</t>
  </si>
  <si>
    <t>уд. вес, %</t>
  </si>
  <si>
    <t>Проект</t>
  </si>
  <si>
    <t>Темп роста, %</t>
  </si>
  <si>
    <t>тыс. рублей</t>
  </si>
  <si>
    <t>1</t>
  </si>
  <si>
    <t>2</t>
  </si>
  <si>
    <t>3</t>
  </si>
  <si>
    <t>4</t>
  </si>
  <si>
    <t>5</t>
  </si>
  <si>
    <t>6</t>
  </si>
  <si>
    <t>8</t>
  </si>
  <si>
    <t>10</t>
  </si>
  <si>
    <t>11</t>
  </si>
  <si>
    <t>13</t>
  </si>
  <si>
    <t>15</t>
  </si>
  <si>
    <t>16</t>
  </si>
  <si>
    <t>18</t>
  </si>
  <si>
    <t>Итого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</si>
  <si>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</si>
  <si>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</si>
  <si>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</si>
  <si>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</si>
  <si>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</si>
  <si>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</si>
  <si>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</si>
  <si>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</si>
  <si>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</si>
  <si>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</si>
  <si>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</si>
  <si>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</si>
  <si>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 ДОЛГА</t>
  </si>
  <si>
    <t>МЕЖБЮДЖЕТНЫЕ ТРАНСФЕРТЫ ОБЩЕГО ХАРАКТЕРА БЮДЖЕТАМ МУНИЦИПАЛЬНЫХ ОБРАЗОВАНИЙ</t>
  </si>
  <si>
    <t>Условно утвержденные расходы</t>
  </si>
  <si>
    <t>ВСЕГО</t>
  </si>
  <si>
    <t>7=6/3</t>
  </si>
  <si>
    <t>9=5/2</t>
  </si>
  <si>
    <t>Социально-культурная сфера, 
в том числе:</t>
  </si>
  <si>
    <t>12=11/7</t>
  </si>
  <si>
    <t>14=10/5</t>
  </si>
  <si>
    <t>17=16/11</t>
  </si>
  <si>
    <t>19=15/10</t>
  </si>
  <si>
    <t>2026 год</t>
  </si>
  <si>
    <t>2024 год
уточненный план на 01.08.2024</t>
  </si>
  <si>
    <t>2027 год</t>
  </si>
  <si>
    <t>Приложение 7 к пояснительной записке 2025 года</t>
  </si>
  <si>
    <t>Наименование разделов классификации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</si>
</sst>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right"/>
    </xf>
    <xf numFmtId="49" fontId="1" fillId="0" borderId="5" xfId="0" applyNumberFormat="1" applyFont="1" applyFill="1" applyBorder="1" applyAlignment="1" applyProtection="1">
      <alignment horizontal="center" vertical="center" wrapText="1"/>
    </xf>
    <xf numFmtId="0" fontId="2" fillId="0" borderId="5" xfId="0" applyFont="1" applyFill="1" applyBorder="1"/>
    <xf numFmtId="49" fontId="1" fillId="0" borderId="8" xfId="0" applyNumberFormat="1" applyFont="1" applyFill="1" applyBorder="1" applyAlignment="1" applyProtection="1">
      <alignment horizontal="left" vertical="center" wrapText="1"/>
    </xf>
    <xf numFmtId="164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5" xfId="0" applyFont="1" applyFill="1" applyBorder="1"/>
    <xf numFmtId="164" fontId="2" fillId="0" borderId="8" xfId="0" applyNumberFormat="1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/>
    </xf>
    <xf numFmtId="164" fontId="5" fillId="0" borderId="8" xfId="0" applyNumberFormat="1" applyFont="1" applyFill="1" applyBorder="1" applyAlignment="1" applyProtection="1">
      <alignment horizontal="center" vertical="center" wrapText="1"/>
    </xf>
    <xf numFmtId="164" fontId="2" fillId="0" borderId="8" xfId="0" applyNumberFormat="1" applyFont="1" applyFill="1" applyBorder="1" applyAlignment="1" applyProtection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0" fontId="6" fillId="0" borderId="0" xfId="0" applyFont="1"/>
    <xf numFmtId="0" fontId="2" fillId="0" borderId="5" xfId="0" applyFont="1" applyFill="1" applyBorder="1" applyAlignment="1">
      <alignment wrapText="1"/>
    </xf>
    <xf numFmtId="0" fontId="8" fillId="0" borderId="0" xfId="0" applyFont="1"/>
    <xf numFmtId="0" fontId="3" fillId="0" borderId="0" xfId="0" applyFont="1" applyFill="1"/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6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S26"/>
  <sheetViews>
    <sheetView tabSelected="1" topLeftCell="A10" zoomScale="120" zoomScaleNormal="120" workbookViewId="0">
      <selection activeCell="A25" sqref="A25:XFD25"/>
    </sheetView>
  </sheetViews>
  <sheetFormatPr defaultRowHeight="12.75" x14ac:dyDescent="0.2"/>
  <cols>
    <col min="1" max="1" width="29.28515625" style="3" customWidth="1"/>
    <col min="2" max="2" width="11.5703125" style="18" customWidth="1"/>
    <col min="3" max="3" width="12.85546875" style="18" customWidth="1"/>
    <col min="4" max="4" width="7.28515625" style="18" customWidth="1"/>
    <col min="5" max="5" width="12.140625" style="3" customWidth="1"/>
    <col min="6" max="6" width="12.42578125" style="3" customWidth="1"/>
    <col min="7" max="7" width="7.28515625" style="18" customWidth="1"/>
    <col min="8" max="9" width="7.28515625" style="3" customWidth="1"/>
    <col min="10" max="10" width="12.7109375" style="3" customWidth="1"/>
    <col min="11" max="11" width="13" style="3" customWidth="1"/>
    <col min="12" max="14" width="7.28515625" style="18" customWidth="1"/>
    <col min="15" max="15" width="12.85546875" style="3" customWidth="1"/>
    <col min="16" max="16" width="13" style="3" customWidth="1"/>
    <col min="17" max="17" width="7.85546875" style="3" customWidth="1"/>
    <col min="18" max="18" width="7.28515625" style="3" customWidth="1"/>
    <col min="19" max="19" width="9.28515625" style="3" customWidth="1"/>
    <col min="20" max="16384" width="9.140625" style="3"/>
  </cols>
  <sheetData>
    <row r="1" spans="1:19" x14ac:dyDescent="0.2">
      <c r="S1" s="4" t="s">
        <v>48</v>
      </c>
    </row>
    <row r="2" spans="1:19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ht="15.75" x14ac:dyDescent="0.25">
      <c r="A3" s="27" t="s">
        <v>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</row>
    <row r="4" spans="1:19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ht="25.5" customHeight="1" x14ac:dyDescent="0.2">
      <c r="A5" s="23" t="s">
        <v>49</v>
      </c>
      <c r="B5" s="25" t="s">
        <v>46</v>
      </c>
      <c r="C5" s="26"/>
      <c r="D5" s="29"/>
      <c r="E5" s="30" t="s">
        <v>1</v>
      </c>
      <c r="F5" s="31"/>
      <c r="G5" s="31"/>
      <c r="H5" s="31"/>
      <c r="I5" s="32"/>
      <c r="J5" s="30" t="s">
        <v>45</v>
      </c>
      <c r="K5" s="31"/>
      <c r="L5" s="31"/>
      <c r="M5" s="31"/>
      <c r="N5" s="32"/>
      <c r="O5" s="33" t="s">
        <v>47</v>
      </c>
      <c r="P5" s="33"/>
      <c r="Q5" s="33"/>
      <c r="R5" s="33"/>
      <c r="S5" s="33"/>
    </row>
    <row r="6" spans="1:19" ht="37.5" customHeight="1" x14ac:dyDescent="0.2">
      <c r="A6" s="28"/>
      <c r="B6" s="21" t="s">
        <v>2</v>
      </c>
      <c r="C6" s="21" t="s">
        <v>3</v>
      </c>
      <c r="D6" s="21" t="s">
        <v>4</v>
      </c>
      <c r="E6" s="23" t="s">
        <v>5</v>
      </c>
      <c r="F6" s="25" t="s">
        <v>3</v>
      </c>
      <c r="G6" s="26"/>
      <c r="H6" s="21" t="s">
        <v>4</v>
      </c>
      <c r="I6" s="21" t="s">
        <v>6</v>
      </c>
      <c r="J6" s="23" t="s">
        <v>5</v>
      </c>
      <c r="K6" s="25" t="s">
        <v>3</v>
      </c>
      <c r="L6" s="26"/>
      <c r="M6" s="21" t="s">
        <v>4</v>
      </c>
      <c r="N6" s="21" t="s">
        <v>6</v>
      </c>
      <c r="O6" s="23" t="s">
        <v>5</v>
      </c>
      <c r="P6" s="25" t="s">
        <v>3</v>
      </c>
      <c r="Q6" s="26"/>
      <c r="R6" s="21" t="s">
        <v>4</v>
      </c>
      <c r="S6" s="21" t="s">
        <v>6</v>
      </c>
    </row>
    <row r="7" spans="1:19" ht="38.25" x14ac:dyDescent="0.2">
      <c r="A7" s="24"/>
      <c r="B7" s="22"/>
      <c r="C7" s="22"/>
      <c r="D7" s="22"/>
      <c r="E7" s="24"/>
      <c r="F7" s="19" t="s">
        <v>7</v>
      </c>
      <c r="G7" s="20" t="s">
        <v>6</v>
      </c>
      <c r="H7" s="22"/>
      <c r="I7" s="22"/>
      <c r="J7" s="24"/>
      <c r="K7" s="19" t="s">
        <v>7</v>
      </c>
      <c r="L7" s="20" t="s">
        <v>6</v>
      </c>
      <c r="M7" s="22"/>
      <c r="N7" s="22"/>
      <c r="O7" s="24"/>
      <c r="P7" s="19" t="s">
        <v>7</v>
      </c>
      <c r="Q7" s="20" t="s">
        <v>6</v>
      </c>
      <c r="R7" s="22"/>
      <c r="S7" s="22"/>
    </row>
    <row r="8" spans="1:19" x14ac:dyDescent="0.2">
      <c r="A8" s="5" t="s">
        <v>8</v>
      </c>
      <c r="B8" s="5" t="s">
        <v>9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38</v>
      </c>
      <c r="H8" s="5" t="s">
        <v>14</v>
      </c>
      <c r="I8" s="5" t="s">
        <v>39</v>
      </c>
      <c r="J8" s="5" t="s">
        <v>15</v>
      </c>
      <c r="K8" s="5" t="s">
        <v>16</v>
      </c>
      <c r="L8" s="5" t="s">
        <v>41</v>
      </c>
      <c r="M8" s="5" t="s">
        <v>17</v>
      </c>
      <c r="N8" s="5" t="s">
        <v>42</v>
      </c>
      <c r="O8" s="5" t="s">
        <v>18</v>
      </c>
      <c r="P8" s="5" t="s">
        <v>19</v>
      </c>
      <c r="Q8" s="5" t="s">
        <v>43</v>
      </c>
      <c r="R8" s="5" t="s">
        <v>20</v>
      </c>
      <c r="S8" s="5" t="s">
        <v>44</v>
      </c>
    </row>
    <row r="9" spans="1:19" x14ac:dyDescent="0.2">
      <c r="A9" s="6" t="s">
        <v>21</v>
      </c>
      <c r="B9" s="13">
        <f>SUM(B10:B15)+B16+B23+B24</f>
        <v>255089207.10000002</v>
      </c>
      <c r="C9" s="13">
        <f>SUM(C10:C15)+C16+C23+C24</f>
        <v>237926888.20000002</v>
      </c>
      <c r="D9" s="13">
        <f>SUM(D10:D25)-D16</f>
        <v>100.10000000000002</v>
      </c>
      <c r="E9" s="13">
        <f>SUM(E10:E15)+E16+E23+E24</f>
        <v>263478758.20000002</v>
      </c>
      <c r="F9" s="13">
        <f>SUM(F10:F15)+F16+F23+F24</f>
        <v>247697654.99999997</v>
      </c>
      <c r="G9" s="13">
        <f>F9/C9*100</f>
        <v>104.10662572604519</v>
      </c>
      <c r="H9" s="13">
        <f>SUM(H10:H25)-H16</f>
        <v>100</v>
      </c>
      <c r="I9" s="13">
        <f>E9/B9*100</f>
        <v>103.28886948819873</v>
      </c>
      <c r="J9" s="13">
        <f>SUM(J10:J15)+J16+J23+J24</f>
        <v>247461068.70000002</v>
      </c>
      <c r="K9" s="13">
        <f>SUM(K10:K15)+K16+K23+K24</f>
        <v>230966150.40000001</v>
      </c>
      <c r="L9" s="13">
        <f>K9/F9*100</f>
        <v>93.245190552974762</v>
      </c>
      <c r="M9" s="13">
        <f>SUM(M10:M25)-M16</f>
        <v>100</v>
      </c>
      <c r="N9" s="13">
        <f>J9/E9*100</f>
        <v>93.920690377688288</v>
      </c>
      <c r="O9" s="13">
        <f>SUM(O10:O15)+O16+O23+O24</f>
        <v>232578058.59999999</v>
      </c>
      <c r="P9" s="13">
        <f>SUM(P10:P15)+P16+P23+P24</f>
        <v>230615819.19999999</v>
      </c>
      <c r="Q9" s="13">
        <f>P9/K9*100</f>
        <v>99.848319245312226</v>
      </c>
      <c r="R9" s="13">
        <f>SUM(R10:R25)-R16</f>
        <v>99.999999999999972</v>
      </c>
      <c r="S9" s="13">
        <f>O9/J9*100</f>
        <v>93.985716550006956</v>
      </c>
    </row>
    <row r="10" spans="1:19" ht="25.5" x14ac:dyDescent="0.2">
      <c r="A10" s="7" t="s">
        <v>22</v>
      </c>
      <c r="B10" s="8">
        <v>20475777.100000001</v>
      </c>
      <c r="C10" s="8">
        <v>20255181</v>
      </c>
      <c r="D10" s="8">
        <f>B10/$B$9*100</f>
        <v>8.0269084422584331</v>
      </c>
      <c r="E10" s="8">
        <f>32808604.8-351910.2</f>
        <v>32456694.600000001</v>
      </c>
      <c r="F10" s="8">
        <f>32716146.6-351910.2</f>
        <v>32364236.400000002</v>
      </c>
      <c r="G10" s="8">
        <f>F10/C10*100</f>
        <v>159.78250897881387</v>
      </c>
      <c r="H10" s="8">
        <f>E10/$E$9*100</f>
        <v>12.318524203519644</v>
      </c>
      <c r="I10" s="8">
        <f>E10/B10*100</f>
        <v>158.51263881945655</v>
      </c>
      <c r="J10" s="8">
        <f>32464728.4-82652.1</f>
        <v>32382076.299999997</v>
      </c>
      <c r="K10" s="8">
        <f>32366871.5-82652.1</f>
        <v>32284219.399999999</v>
      </c>
      <c r="L10" s="8">
        <f>K10/F10*100</f>
        <v>99.752761044595502</v>
      </c>
      <c r="M10" s="8">
        <f>J10/$J$9*100</f>
        <v>13.085725552756411</v>
      </c>
      <c r="N10" s="8">
        <f>J10/E10*100</f>
        <v>99.770098893557673</v>
      </c>
      <c r="O10" s="8">
        <v>32518463.899999999</v>
      </c>
      <c r="P10" s="8">
        <v>32498383.799999997</v>
      </c>
      <c r="Q10" s="8">
        <f t="shared" ref="Q10:Q24" si="0">P10/K10*100</f>
        <v>100.6633717772343</v>
      </c>
      <c r="R10" s="8">
        <f>O10/$O$9*100</f>
        <v>13.981741913121294</v>
      </c>
      <c r="S10" s="8">
        <f>O10/J10*100</f>
        <v>100.42118238106926</v>
      </c>
    </row>
    <row r="11" spans="1:19" x14ac:dyDescent="0.2">
      <c r="A11" s="9" t="s">
        <v>23</v>
      </c>
      <c r="B11" s="8">
        <v>628991.80000000005</v>
      </c>
      <c r="C11" s="8">
        <v>534996.1</v>
      </c>
      <c r="D11" s="8">
        <f t="shared" ref="D11:D24" si="1">B11/$B$9*100</f>
        <v>0.24657719044672197</v>
      </c>
      <c r="E11" s="8">
        <v>103152.8</v>
      </c>
      <c r="F11" s="8">
        <v>0</v>
      </c>
      <c r="G11" s="8"/>
      <c r="H11" s="8">
        <f t="shared" ref="H11:H24" si="2">E11/$E$9*100</f>
        <v>3.9150328741757362E-2</v>
      </c>
      <c r="I11" s="8">
        <f>E11/B11*100</f>
        <v>16.399705051798765</v>
      </c>
      <c r="J11" s="8">
        <v>112465.3</v>
      </c>
      <c r="K11" s="8">
        <v>0</v>
      </c>
      <c r="L11" s="8"/>
      <c r="M11" s="8">
        <f t="shared" ref="M11:M24" si="3">J11/$J$9*100</f>
        <v>4.5447674089027321E-2</v>
      </c>
      <c r="N11" s="8">
        <f t="shared" ref="N11:N24" si="4">J11/E11*100</f>
        <v>109.0278693355876</v>
      </c>
      <c r="O11" s="8">
        <v>0</v>
      </c>
      <c r="P11" s="8">
        <v>0</v>
      </c>
      <c r="Q11" s="8"/>
      <c r="R11" s="8">
        <f t="shared" ref="R11:R24" si="5">O11/$O$9*100</f>
        <v>0</v>
      </c>
      <c r="S11" s="8">
        <f t="shared" ref="S11:S24" si="6">O11/J11*100</f>
        <v>0</v>
      </c>
    </row>
    <row r="12" spans="1:19" ht="51" x14ac:dyDescent="0.2">
      <c r="A12" s="7" t="s">
        <v>24</v>
      </c>
      <c r="B12" s="8">
        <v>4920468.8</v>
      </c>
      <c r="C12" s="8">
        <v>4920468.8</v>
      </c>
      <c r="D12" s="8">
        <f t="shared" si="1"/>
        <v>1.9289208100721715</v>
      </c>
      <c r="E12" s="8">
        <f>5540881.8+29910.4</f>
        <v>5570792.2000000002</v>
      </c>
      <c r="F12" s="8">
        <f>5540881.8+29910.4</f>
        <v>5570792.2000000002</v>
      </c>
      <c r="G12" s="8">
        <f t="shared" ref="G12:G24" si="7">F12/C12*100</f>
        <v>113.21669593759034</v>
      </c>
      <c r="H12" s="8">
        <f t="shared" si="2"/>
        <v>2.1143230817003298</v>
      </c>
      <c r="I12" s="8">
        <f t="shared" ref="I12:I24" si="8">E12/B12*100</f>
        <v>113.21669593759034</v>
      </c>
      <c r="J12" s="8">
        <v>4835184.2</v>
      </c>
      <c r="K12" s="8">
        <v>4835184.2</v>
      </c>
      <c r="L12" s="8">
        <f t="shared" ref="L12:L24" si="9">K12/F12*100</f>
        <v>86.795271236288443</v>
      </c>
      <c r="M12" s="8">
        <f t="shared" si="3"/>
        <v>1.9539171253890246</v>
      </c>
      <c r="N12" s="8">
        <f t="shared" si="4"/>
        <v>86.795271236288443</v>
      </c>
      <c r="O12" s="8">
        <v>4835184.2</v>
      </c>
      <c r="P12" s="8">
        <v>4835184.2</v>
      </c>
      <c r="Q12" s="8">
        <f t="shared" si="0"/>
        <v>100</v>
      </c>
      <c r="R12" s="8">
        <f t="shared" si="5"/>
        <v>2.0789511397185603</v>
      </c>
      <c r="S12" s="8">
        <f t="shared" si="6"/>
        <v>100</v>
      </c>
    </row>
    <row r="13" spans="1:19" ht="25.5" x14ac:dyDescent="0.2">
      <c r="A13" s="7" t="s">
        <v>25</v>
      </c>
      <c r="B13" s="8">
        <v>50988594.799999997</v>
      </c>
      <c r="C13" s="8">
        <v>46970132.100000001</v>
      </c>
      <c r="D13" s="8">
        <f t="shared" si="1"/>
        <v>19.988534748164181</v>
      </c>
      <c r="E13" s="8">
        <f>50558549.6-56520</f>
        <v>50502029.600000001</v>
      </c>
      <c r="F13" s="8">
        <f>43926331.9-56520</f>
        <v>43869811.899999999</v>
      </c>
      <c r="G13" s="8">
        <f t="shared" si="7"/>
        <v>93.399379432445755</v>
      </c>
      <c r="H13" s="8">
        <f t="shared" si="2"/>
        <v>19.167400797321658</v>
      </c>
      <c r="I13" s="8">
        <f t="shared" si="8"/>
        <v>99.045737185132239</v>
      </c>
      <c r="J13" s="8">
        <f>49994235.7-56520</f>
        <v>49937715.700000003</v>
      </c>
      <c r="K13" s="8">
        <f>41481706.4-56520</f>
        <v>41425186.399999999</v>
      </c>
      <c r="L13" s="8">
        <f t="shared" si="9"/>
        <v>94.427545060889585</v>
      </c>
      <c r="M13" s="8">
        <f t="shared" si="3"/>
        <v>20.180029110170896</v>
      </c>
      <c r="N13" s="8">
        <f t="shared" si="4"/>
        <v>98.882591641425833</v>
      </c>
      <c r="O13" s="8">
        <f>41918234.4-60000</f>
        <v>41858234.399999999</v>
      </c>
      <c r="P13" s="8">
        <f>39976075.1-60000</f>
        <v>39916075.100000001</v>
      </c>
      <c r="Q13" s="8">
        <f t="shared" si="0"/>
        <v>96.357019892612968</v>
      </c>
      <c r="R13" s="8">
        <f t="shared" si="5"/>
        <v>17.997499270552428</v>
      </c>
      <c r="S13" s="8">
        <f t="shared" si="6"/>
        <v>83.820883300835476</v>
      </c>
    </row>
    <row r="14" spans="1:19" ht="25.5" x14ac:dyDescent="0.2">
      <c r="A14" s="7" t="s">
        <v>26</v>
      </c>
      <c r="B14" s="8">
        <v>24669557.399999999</v>
      </c>
      <c r="C14" s="8">
        <v>22462613.699999999</v>
      </c>
      <c r="D14" s="8">
        <f t="shared" si="1"/>
        <v>9.6709530287296879</v>
      </c>
      <c r="E14" s="8">
        <v>13684424.800000001</v>
      </c>
      <c r="F14" s="8">
        <v>13130736.200000001</v>
      </c>
      <c r="G14" s="8">
        <f t="shared" si="7"/>
        <v>58.455958756037376</v>
      </c>
      <c r="H14" s="8">
        <f t="shared" si="2"/>
        <v>5.1937487839579477</v>
      </c>
      <c r="I14" s="8">
        <f t="shared" si="8"/>
        <v>55.470897098461933</v>
      </c>
      <c r="J14" s="8">
        <v>9322433.1999999993</v>
      </c>
      <c r="K14" s="8">
        <v>8970714.8999999985</v>
      </c>
      <c r="L14" s="8">
        <f t="shared" si="9"/>
        <v>68.318445846166625</v>
      </c>
      <c r="M14" s="8">
        <f t="shared" si="3"/>
        <v>3.7672322555519608</v>
      </c>
      <c r="N14" s="8">
        <f t="shared" si="4"/>
        <v>68.12440666121384</v>
      </c>
      <c r="O14" s="8">
        <v>13249461.1</v>
      </c>
      <c r="P14" s="8">
        <v>13249461.1</v>
      </c>
      <c r="Q14" s="8">
        <f t="shared" si="0"/>
        <v>147.69682514377982</v>
      </c>
      <c r="R14" s="8">
        <f t="shared" si="5"/>
        <v>5.6967803324848978</v>
      </c>
      <c r="S14" s="8">
        <f t="shared" si="6"/>
        <v>142.1244949226346</v>
      </c>
    </row>
    <row r="15" spans="1:19" ht="25.5" x14ac:dyDescent="0.2">
      <c r="A15" s="7" t="s">
        <v>27</v>
      </c>
      <c r="B15" s="8">
        <v>765813.8</v>
      </c>
      <c r="C15" s="8">
        <v>722797.2</v>
      </c>
      <c r="D15" s="8">
        <f t="shared" si="1"/>
        <v>0.30021411282202382</v>
      </c>
      <c r="E15" s="8">
        <v>841344.7</v>
      </c>
      <c r="F15" s="8">
        <v>822110.39999999991</v>
      </c>
      <c r="G15" s="8">
        <f t="shared" si="7"/>
        <v>113.74011963521717</v>
      </c>
      <c r="H15" s="8">
        <f t="shared" si="2"/>
        <v>0.31932164313654332</v>
      </c>
      <c r="I15" s="8">
        <f t="shared" si="8"/>
        <v>109.8628282749671</v>
      </c>
      <c r="J15" s="8">
        <v>670566</v>
      </c>
      <c r="K15" s="8">
        <v>650652.19999999995</v>
      </c>
      <c r="L15" s="8">
        <f t="shared" si="9"/>
        <v>79.144139278617573</v>
      </c>
      <c r="M15" s="8">
        <f t="shared" si="3"/>
        <v>0.27097838198255547</v>
      </c>
      <c r="N15" s="8">
        <f t="shared" si="4"/>
        <v>79.701696581674554</v>
      </c>
      <c r="O15" s="8">
        <v>587010.5</v>
      </c>
      <c r="P15" s="8">
        <v>587010.5</v>
      </c>
      <c r="Q15" s="8">
        <f t="shared" si="0"/>
        <v>90.218783552872026</v>
      </c>
      <c r="R15" s="8">
        <f t="shared" si="5"/>
        <v>0.25239289704862983</v>
      </c>
      <c r="S15" s="8">
        <f t="shared" si="6"/>
        <v>87.539556136159604</v>
      </c>
    </row>
    <row r="16" spans="1:19" s="17" customFormat="1" ht="25.5" x14ac:dyDescent="0.2">
      <c r="A16" s="16" t="s">
        <v>40</v>
      </c>
      <c r="B16" s="10">
        <f>SUM(B17:B22)</f>
        <v>143010549.20000002</v>
      </c>
      <c r="C16" s="10">
        <f>SUM(C17:C22)</f>
        <v>132486676.7</v>
      </c>
      <c r="D16" s="10">
        <f t="shared" si="1"/>
        <v>56.062955710994487</v>
      </c>
      <c r="E16" s="10">
        <f>E17+E18+E19+E20+E21+E22</f>
        <v>149828288.40000004</v>
      </c>
      <c r="F16" s="10">
        <f>F17+F18+F19+F20+F21+F22</f>
        <v>141447936.79999998</v>
      </c>
      <c r="G16" s="10">
        <f t="shared" si="7"/>
        <v>106.76389530117936</v>
      </c>
      <c r="H16" s="10">
        <f t="shared" si="2"/>
        <v>56.865414663245531</v>
      </c>
      <c r="I16" s="10">
        <f t="shared" si="8"/>
        <v>104.76729810362831</v>
      </c>
      <c r="J16" s="10">
        <f>J17+J18+J19+J20+J21+J22</f>
        <v>140349498.40000001</v>
      </c>
      <c r="K16" s="10">
        <f>K17+K18+K19+K20+K21+K22</f>
        <v>132949063.7</v>
      </c>
      <c r="L16" s="10">
        <f t="shared" si="9"/>
        <v>93.99151851043473</v>
      </c>
      <c r="M16" s="10">
        <f t="shared" si="3"/>
        <v>56.715789330946173</v>
      </c>
      <c r="N16" s="10">
        <f t="shared" si="4"/>
        <v>93.673564517606792</v>
      </c>
      <c r="O16" s="10">
        <f>O17+O18+O19+O20+O21+O22</f>
        <v>128969446.19999999</v>
      </c>
      <c r="P16" s="10">
        <f>P17+P18+P19+P20+P21+P22</f>
        <v>128969446.19999999</v>
      </c>
      <c r="Q16" s="10">
        <f t="shared" si="0"/>
        <v>97.006660002525464</v>
      </c>
      <c r="R16" s="10">
        <f t="shared" si="5"/>
        <v>55.452112282787795</v>
      </c>
      <c r="S16" s="10">
        <f t="shared" si="6"/>
        <v>91.891633151714899</v>
      </c>
    </row>
    <row r="17" spans="1:19" s="15" customFormat="1" x14ac:dyDescent="0.2">
      <c r="A17" s="11" t="s">
        <v>28</v>
      </c>
      <c r="B17" s="12">
        <v>55209561.200000003</v>
      </c>
      <c r="C17" s="12">
        <v>52848393.799999997</v>
      </c>
      <c r="D17" s="12">
        <f t="shared" si="1"/>
        <v>21.643236821994105</v>
      </c>
      <c r="E17" s="12">
        <v>55667006.799999997</v>
      </c>
      <c r="F17" s="12">
        <v>54307327.699999996</v>
      </c>
      <c r="G17" s="12">
        <f t="shared" si="7"/>
        <v>102.76060215854659</v>
      </c>
      <c r="H17" s="12">
        <f t="shared" si="2"/>
        <v>21.127701975027751</v>
      </c>
      <c r="I17" s="12">
        <f t="shared" si="8"/>
        <v>100.82856228170853</v>
      </c>
      <c r="J17" s="12">
        <v>51542039.299999997</v>
      </c>
      <c r="K17" s="12">
        <v>50492060.799999997</v>
      </c>
      <c r="L17" s="12">
        <f t="shared" si="9"/>
        <v>92.974673839456841</v>
      </c>
      <c r="M17" s="12">
        <f t="shared" si="3"/>
        <v>20.828342644266609</v>
      </c>
      <c r="N17" s="12">
        <f t="shared" si="4"/>
        <v>92.589924019410361</v>
      </c>
      <c r="O17" s="12">
        <v>48679515.299999997</v>
      </c>
      <c r="P17" s="12">
        <v>48679515.299999997</v>
      </c>
      <c r="Q17" s="12">
        <f t="shared" si="0"/>
        <v>96.410236636647639</v>
      </c>
      <c r="R17" s="12">
        <f t="shared" si="5"/>
        <v>20.930398848896399</v>
      </c>
      <c r="S17" s="12">
        <f t="shared" si="6"/>
        <v>94.446234493480745</v>
      </c>
    </row>
    <row r="18" spans="1:19" s="15" customFormat="1" ht="25.5" x14ac:dyDescent="0.2">
      <c r="A18" s="11" t="s">
        <v>29</v>
      </c>
      <c r="B18" s="12">
        <v>5426234.0999999996</v>
      </c>
      <c r="C18" s="12">
        <v>5340277.3</v>
      </c>
      <c r="D18" s="12">
        <f t="shared" si="1"/>
        <v>2.1271907822712421</v>
      </c>
      <c r="E18" s="12">
        <v>5726399.7000000002</v>
      </c>
      <c r="F18" s="12">
        <v>5612524.2999999998</v>
      </c>
      <c r="G18" s="12">
        <f t="shared" si="7"/>
        <v>105.09799369407278</v>
      </c>
      <c r="H18" s="12">
        <f t="shared" si="2"/>
        <v>2.1733819223685713</v>
      </c>
      <c r="I18" s="12">
        <f t="shared" si="8"/>
        <v>105.53174806814916</v>
      </c>
      <c r="J18" s="12">
        <v>5601297.9000000004</v>
      </c>
      <c r="K18" s="12">
        <v>5142488.2</v>
      </c>
      <c r="L18" s="12">
        <f t="shared" si="9"/>
        <v>91.625228241773499</v>
      </c>
      <c r="M18" s="12">
        <f t="shared" si="3"/>
        <v>2.2635067121570223</v>
      </c>
      <c r="N18" s="12">
        <f t="shared" si="4"/>
        <v>97.81534984363735</v>
      </c>
      <c r="O18" s="12">
        <v>4062802.3</v>
      </c>
      <c r="P18" s="12">
        <v>4062802.3</v>
      </c>
      <c r="Q18" s="12">
        <f t="shared" si="0"/>
        <v>79.004601313426434</v>
      </c>
      <c r="R18" s="12">
        <f t="shared" si="5"/>
        <v>1.7468553673790104</v>
      </c>
      <c r="S18" s="12">
        <f t="shared" si="6"/>
        <v>72.533230200093442</v>
      </c>
    </row>
    <row r="19" spans="1:19" s="15" customFormat="1" x14ac:dyDescent="0.2">
      <c r="A19" s="11" t="s">
        <v>30</v>
      </c>
      <c r="B19" s="12">
        <v>25008601.300000001</v>
      </c>
      <c r="C19" s="12">
        <v>22965671.800000001</v>
      </c>
      <c r="D19" s="12">
        <f t="shared" si="1"/>
        <v>9.8038649240836495</v>
      </c>
      <c r="E19" s="12">
        <f>24922550.4+24272.5</f>
        <v>24946822.899999999</v>
      </c>
      <c r="F19" s="12">
        <f>22772531.5+24272.5</f>
        <v>22796804</v>
      </c>
      <c r="G19" s="12">
        <f t="shared" si="7"/>
        <v>99.264694708386443</v>
      </c>
      <c r="H19" s="12">
        <f t="shared" si="2"/>
        <v>9.468248245296305</v>
      </c>
      <c r="I19" s="12">
        <f t="shared" si="8"/>
        <v>99.75297139068708</v>
      </c>
      <c r="J19" s="12">
        <v>21712763</v>
      </c>
      <c r="K19" s="12">
        <v>20541347.5</v>
      </c>
      <c r="L19" s="12">
        <f t="shared" si="9"/>
        <v>90.106260070490578</v>
      </c>
      <c r="M19" s="12">
        <f t="shared" si="3"/>
        <v>8.7742137032159349</v>
      </c>
      <c r="N19" s="12">
        <f t="shared" si="4"/>
        <v>87.036185277124005</v>
      </c>
      <c r="O19" s="12">
        <v>20115246.800000001</v>
      </c>
      <c r="P19" s="12">
        <v>20115246.800000001</v>
      </c>
      <c r="Q19" s="12">
        <f t="shared" si="0"/>
        <v>97.925643875115782</v>
      </c>
      <c r="R19" s="12">
        <f t="shared" si="5"/>
        <v>8.6488153358418316</v>
      </c>
      <c r="S19" s="12">
        <f t="shared" si="6"/>
        <v>92.642501555421575</v>
      </c>
    </row>
    <row r="20" spans="1:19" s="15" customFormat="1" x14ac:dyDescent="0.2">
      <c r="A20" s="11" t="s">
        <v>31</v>
      </c>
      <c r="B20" s="12">
        <v>52925474.600000001</v>
      </c>
      <c r="C20" s="12">
        <v>46910317.600000001</v>
      </c>
      <c r="D20" s="12">
        <f t="shared" si="1"/>
        <v>20.747829828508646</v>
      </c>
      <c r="E20" s="12">
        <f>58635398.7+60000</f>
        <v>58695398.700000003</v>
      </c>
      <c r="F20" s="12">
        <f>54009601.2+60000</f>
        <v>54069601.200000003</v>
      </c>
      <c r="G20" s="12">
        <f t="shared" si="7"/>
        <v>115.26163958438005</v>
      </c>
      <c r="H20" s="12">
        <f t="shared" si="2"/>
        <v>22.277089470508972</v>
      </c>
      <c r="I20" s="12">
        <f t="shared" si="8"/>
        <v>110.90197894984961</v>
      </c>
      <c r="J20" s="12">
        <f>58006773.8+60000</f>
        <v>58066773.799999997</v>
      </c>
      <c r="K20" s="12">
        <f>53367759.4+60000</f>
        <v>53427759.399999999</v>
      </c>
      <c r="L20" s="12">
        <f t="shared" si="9"/>
        <v>98.812934096506694</v>
      </c>
      <c r="M20" s="12">
        <f t="shared" si="3"/>
        <v>23.465013751474189</v>
      </c>
      <c r="N20" s="12">
        <f t="shared" si="4"/>
        <v>98.92900480459636</v>
      </c>
      <c r="O20" s="12">
        <f>53946644.4+60000</f>
        <v>54006644.399999999</v>
      </c>
      <c r="P20" s="12">
        <f>53946644.4+60000</f>
        <v>54006644.399999999</v>
      </c>
      <c r="Q20" s="12">
        <f t="shared" si="0"/>
        <v>101.08349106625647</v>
      </c>
      <c r="R20" s="12">
        <f t="shared" si="5"/>
        <v>23.220868178663178</v>
      </c>
      <c r="S20" s="12">
        <f t="shared" si="6"/>
        <v>93.00782679267779</v>
      </c>
    </row>
    <row r="21" spans="1:19" s="15" customFormat="1" ht="25.5" x14ac:dyDescent="0.2">
      <c r="A21" s="11" t="s">
        <v>32</v>
      </c>
      <c r="B21" s="12">
        <v>3892484.6</v>
      </c>
      <c r="C21" s="12">
        <v>3873822.7</v>
      </c>
      <c r="D21" s="12">
        <f>B21/$B$9*100+0.1</f>
        <v>1.62593072997952</v>
      </c>
      <c r="E21" s="12">
        <v>4187625.3</v>
      </c>
      <c r="F21" s="12">
        <v>4056644.5999999996</v>
      </c>
      <c r="G21" s="12">
        <f t="shared" si="7"/>
        <v>104.71941836677243</v>
      </c>
      <c r="H21" s="12">
        <f t="shared" si="2"/>
        <v>1.5893597376154627</v>
      </c>
      <c r="I21" s="12">
        <f t="shared" si="8"/>
        <v>107.58232158452212</v>
      </c>
      <c r="J21" s="12">
        <v>2896589.3</v>
      </c>
      <c r="K21" s="12">
        <v>2815372.6999999997</v>
      </c>
      <c r="L21" s="12">
        <f t="shared" si="9"/>
        <v>69.401512274454603</v>
      </c>
      <c r="M21" s="12">
        <f t="shared" si="3"/>
        <v>1.1705232322873258</v>
      </c>
      <c r="N21" s="12">
        <f t="shared" si="4"/>
        <v>69.170212053117552</v>
      </c>
      <c r="O21" s="12">
        <v>1575202.4</v>
      </c>
      <c r="P21" s="12">
        <v>1575202.4</v>
      </c>
      <c r="Q21" s="12">
        <f t="shared" si="0"/>
        <v>55.950048815916986</v>
      </c>
      <c r="R21" s="12">
        <f t="shared" si="5"/>
        <v>0.67727902171077792</v>
      </c>
      <c r="S21" s="12">
        <f t="shared" si="6"/>
        <v>54.381282151390955</v>
      </c>
    </row>
    <row r="22" spans="1:19" s="15" customFormat="1" ht="25.5" x14ac:dyDescent="0.2">
      <c r="A22" s="11" t="s">
        <v>33</v>
      </c>
      <c r="B22" s="12">
        <v>548193.4</v>
      </c>
      <c r="C22" s="12">
        <v>548193.5</v>
      </c>
      <c r="D22" s="12">
        <f t="shared" si="1"/>
        <v>0.21490262415731973</v>
      </c>
      <c r="E22" s="12">
        <v>605035</v>
      </c>
      <c r="F22" s="12">
        <v>605035</v>
      </c>
      <c r="G22" s="12">
        <f t="shared" si="7"/>
        <v>110.36887522380327</v>
      </c>
      <c r="H22" s="12">
        <f t="shared" si="2"/>
        <v>0.22963331242844756</v>
      </c>
      <c r="I22" s="12">
        <f t="shared" si="8"/>
        <v>110.36889535700357</v>
      </c>
      <c r="J22" s="12">
        <v>530035.1</v>
      </c>
      <c r="K22" s="12">
        <v>530035.1</v>
      </c>
      <c r="L22" s="12">
        <f t="shared" si="9"/>
        <v>87.604039435735118</v>
      </c>
      <c r="M22" s="12">
        <f t="shared" si="3"/>
        <v>0.2141892875450917</v>
      </c>
      <c r="N22" s="12">
        <f t="shared" si="4"/>
        <v>87.604039435735118</v>
      </c>
      <c r="O22" s="12">
        <v>530035</v>
      </c>
      <c r="P22" s="12">
        <v>530035</v>
      </c>
      <c r="Q22" s="12">
        <f t="shared" si="0"/>
        <v>99.999981133324951</v>
      </c>
      <c r="R22" s="12">
        <f t="shared" si="5"/>
        <v>0.22789553029659695</v>
      </c>
      <c r="S22" s="12">
        <f t="shared" si="6"/>
        <v>99.999981133324951</v>
      </c>
    </row>
    <row r="23" spans="1:19" ht="25.5" x14ac:dyDescent="0.2">
      <c r="A23" s="7" t="s">
        <v>34</v>
      </c>
      <c r="B23" s="8">
        <v>352723</v>
      </c>
      <c r="C23" s="8">
        <v>352723</v>
      </c>
      <c r="D23" s="8">
        <f t="shared" si="1"/>
        <v>0.13827437233035328</v>
      </c>
      <c r="E23" s="8">
        <v>375637.7</v>
      </c>
      <c r="F23" s="8">
        <v>375637.7</v>
      </c>
      <c r="G23" s="8">
        <f t="shared" si="7"/>
        <v>106.49651426189956</v>
      </c>
      <c r="H23" s="8">
        <f t="shared" si="2"/>
        <v>0.14256849492013432</v>
      </c>
      <c r="I23" s="8">
        <f t="shared" si="8"/>
        <v>106.49651426189956</v>
      </c>
      <c r="J23" s="8">
        <v>542249.1</v>
      </c>
      <c r="K23" s="8">
        <v>542249.1</v>
      </c>
      <c r="L23" s="8">
        <f t="shared" si="9"/>
        <v>144.3542807338028</v>
      </c>
      <c r="M23" s="8">
        <f t="shared" si="3"/>
        <v>0.21912501342074742</v>
      </c>
      <c r="N23" s="8">
        <f t="shared" si="4"/>
        <v>144.3542807338028</v>
      </c>
      <c r="O23" s="8">
        <v>1143143.8</v>
      </c>
      <c r="P23" s="8">
        <v>1143143.8</v>
      </c>
      <c r="Q23" s="8">
        <f t="shared" si="0"/>
        <v>210.8152507768109</v>
      </c>
      <c r="R23" s="8">
        <f t="shared" si="5"/>
        <v>0.4915097352179893</v>
      </c>
      <c r="S23" s="8">
        <f t="shared" si="6"/>
        <v>210.8152507768109</v>
      </c>
    </row>
    <row r="24" spans="1:19" ht="63.75" x14ac:dyDescent="0.2">
      <c r="A24" s="7" t="s">
        <v>35</v>
      </c>
      <c r="B24" s="8">
        <v>9276731.1999999993</v>
      </c>
      <c r="C24" s="8">
        <v>9221299.5999999996</v>
      </c>
      <c r="D24" s="8">
        <f t="shared" si="1"/>
        <v>3.6366615841819354</v>
      </c>
      <c r="E24" s="8">
        <f>9822146.1+294247.3</f>
        <v>10116393.4</v>
      </c>
      <c r="F24" s="8">
        <f>9822146.1+294247.3</f>
        <v>10116393.4</v>
      </c>
      <c r="G24" s="8">
        <f t="shared" si="7"/>
        <v>109.70680748730905</v>
      </c>
      <c r="H24" s="8">
        <f t="shared" si="2"/>
        <v>3.83954800345647</v>
      </c>
      <c r="I24" s="8">
        <f t="shared" si="8"/>
        <v>109.05127228435812</v>
      </c>
      <c r="J24" s="8">
        <f>9229708.4+79172.1</f>
        <v>9308880.5</v>
      </c>
      <c r="K24" s="8">
        <f>9229708.4+79172.1</f>
        <v>9308880.5</v>
      </c>
      <c r="L24" s="8">
        <f t="shared" si="9"/>
        <v>92.017778786657303</v>
      </c>
      <c r="M24" s="8">
        <f t="shared" si="3"/>
        <v>3.7617555556931928</v>
      </c>
      <c r="N24" s="8">
        <f t="shared" si="4"/>
        <v>92.017778786657303</v>
      </c>
      <c r="O24" s="8">
        <v>9417114.5</v>
      </c>
      <c r="P24" s="8">
        <v>9417114.5</v>
      </c>
      <c r="Q24" s="8">
        <f t="shared" si="0"/>
        <v>101.16269620176132</v>
      </c>
      <c r="R24" s="8">
        <f t="shared" si="5"/>
        <v>4.049012429068406</v>
      </c>
      <c r="S24" s="8">
        <f t="shared" si="6"/>
        <v>101.16269620176132</v>
      </c>
    </row>
    <row r="25" spans="1:19" s="35" customFormat="1" x14ac:dyDescent="0.2">
      <c r="A25" s="34" t="s">
        <v>36</v>
      </c>
      <c r="B25" s="12"/>
      <c r="C25" s="12"/>
      <c r="D25" s="12"/>
      <c r="E25" s="12"/>
      <c r="F25" s="12"/>
      <c r="G25" s="12"/>
      <c r="H25" s="12"/>
      <c r="I25" s="12"/>
      <c r="J25" s="12">
        <v>5922209</v>
      </c>
      <c r="K25" s="12">
        <v>5922209</v>
      </c>
      <c r="L25" s="12"/>
      <c r="M25" s="12"/>
      <c r="N25" s="12"/>
      <c r="O25" s="12">
        <v>12137674.699999999</v>
      </c>
      <c r="P25" s="12">
        <v>12137674.699999999</v>
      </c>
      <c r="Q25" s="12"/>
      <c r="R25" s="12"/>
      <c r="S25" s="12"/>
    </row>
    <row r="26" spans="1:19" s="18" customFormat="1" x14ac:dyDescent="0.2">
      <c r="A26" s="6" t="s">
        <v>37</v>
      </c>
      <c r="B26" s="14">
        <f>B9+B25</f>
        <v>255089207.10000002</v>
      </c>
      <c r="C26" s="14">
        <f>C9+C25</f>
        <v>237926888.20000002</v>
      </c>
      <c r="D26" s="14"/>
      <c r="E26" s="14">
        <f>E9+E25</f>
        <v>263478758.20000002</v>
      </c>
      <c r="F26" s="14">
        <f>F9+F25</f>
        <v>247697654.99999997</v>
      </c>
      <c r="G26" s="14"/>
      <c r="H26" s="14"/>
      <c r="I26" s="14"/>
      <c r="J26" s="14">
        <f>J9+J25</f>
        <v>253383277.70000002</v>
      </c>
      <c r="K26" s="14">
        <f>K9+K25</f>
        <v>236888359.40000001</v>
      </c>
      <c r="L26" s="14"/>
      <c r="M26" s="14"/>
      <c r="N26" s="13">
        <f>J26/E26*100</f>
        <v>96.168389220835493</v>
      </c>
      <c r="O26" s="14">
        <f>O9+O25</f>
        <v>244715733.29999998</v>
      </c>
      <c r="P26" s="14">
        <f>P9+P25</f>
        <v>242753493.89999998</v>
      </c>
      <c r="Q26" s="14"/>
      <c r="R26" s="14"/>
      <c r="S26" s="13">
        <f>O26/J26*100</f>
        <v>96.579275286563231</v>
      </c>
    </row>
  </sheetData>
  <mergeCells count="21">
    <mergeCell ref="M6:M7"/>
    <mergeCell ref="A3:S3"/>
    <mergeCell ref="A5:A7"/>
    <mergeCell ref="B5:D5"/>
    <mergeCell ref="E5:I5"/>
    <mergeCell ref="J5:N5"/>
    <mergeCell ref="O5:S5"/>
    <mergeCell ref="B6:B7"/>
    <mergeCell ref="C6:C7"/>
    <mergeCell ref="D6:D7"/>
    <mergeCell ref="E6:E7"/>
    <mergeCell ref="F6:G6"/>
    <mergeCell ref="H6:H7"/>
    <mergeCell ref="I6:I7"/>
    <mergeCell ref="J6:J7"/>
    <mergeCell ref="K6:L6"/>
    <mergeCell ref="N6:N7"/>
    <mergeCell ref="O6:O7"/>
    <mergeCell ref="P6:Q6"/>
    <mergeCell ref="R6:R7"/>
    <mergeCell ref="S6:S7"/>
  </mergeCells>
  <pageMargins left="0.78740157480314965" right="0.39370078740157483" top="0.78740157480314965" bottom="0.78740157480314965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Жарков Дмитрий Анатольевич</dc:creator>
  <cp:lastModifiedBy>Рыженкова Елена Николаевна</cp:lastModifiedBy>
  <cp:lastPrinted>2024-10-09T13:11:35Z</cp:lastPrinted>
  <dcterms:created xsi:type="dcterms:W3CDTF">2022-08-31T08:50:41Z</dcterms:created>
  <dcterms:modified xsi:type="dcterms:W3CDTF">2024-10-09T13:14:08Z</dcterms:modified>
</cp:coreProperties>
</file>