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285" yWindow="330" windowWidth="22695" windowHeight="9270"/>
  </bookViews>
  <sheets>
    <sheet name="для НИФИ" sheetId="1" r:id="rId1"/>
  </sheets>
  <definedNames>
    <definedName name="_xlnm._FilterDatabase" localSheetId="0" hidden="1">'для НИФИ'!$A$8:$J$88</definedName>
    <definedName name="_xlnm.Print_Titles" localSheetId="0">'для НИФИ'!$6:$7</definedName>
  </definedNames>
  <calcPr calcId="145621"/>
</workbook>
</file>

<file path=xl/calcChain.xml><?xml version="1.0" encoding="utf-8"?>
<calcChain xmlns="http://schemas.openxmlformats.org/spreadsheetml/2006/main">
  <c r="H85" i="1" l="1"/>
  <c r="F85" i="1"/>
  <c r="J70" i="1"/>
  <c r="H70" i="1"/>
  <c r="F70" i="1"/>
  <c r="F61" i="1"/>
  <c r="H54" i="1"/>
  <c r="F54" i="1"/>
  <c r="H51" i="1"/>
  <c r="F51" i="1"/>
  <c r="H48" i="1"/>
  <c r="F48" i="1"/>
  <c r="F41" i="1"/>
  <c r="F40" i="1"/>
  <c r="J33" i="1"/>
  <c r="H33" i="1"/>
  <c r="F33" i="1"/>
  <c r="H27" i="1"/>
  <c r="F27" i="1"/>
  <c r="F25" i="1"/>
  <c r="J25" i="1"/>
  <c r="H25" i="1"/>
  <c r="J23" i="1"/>
  <c r="H23" i="1"/>
  <c r="H17" i="1"/>
  <c r="F17" i="1"/>
  <c r="F13" i="1"/>
  <c r="K86" i="1" l="1"/>
  <c r="K85" i="1"/>
  <c r="K84" i="1"/>
  <c r="K82" i="1"/>
  <c r="K80" i="1"/>
  <c r="K79" i="1"/>
  <c r="K77" i="1"/>
  <c r="K76" i="1"/>
  <c r="K75" i="1"/>
  <c r="K74" i="1"/>
  <c r="K72" i="1"/>
  <c r="K71" i="1"/>
  <c r="K70" i="1"/>
  <c r="K69" i="1"/>
  <c r="K68" i="1"/>
  <c r="K66" i="1"/>
  <c r="K65" i="1"/>
  <c r="K64" i="1"/>
  <c r="K63" i="1"/>
  <c r="K62" i="1"/>
  <c r="K61" i="1"/>
  <c r="K60" i="1"/>
  <c r="K58" i="1"/>
  <c r="K57" i="1"/>
  <c r="K56" i="1"/>
  <c r="K54" i="1"/>
  <c r="K53" i="1"/>
  <c r="K52" i="1"/>
  <c r="K51" i="1"/>
  <c r="K50" i="1"/>
  <c r="K49" i="1"/>
  <c r="K48" i="1"/>
  <c r="K47" i="1"/>
  <c r="K45" i="1"/>
  <c r="K44" i="1"/>
  <c r="K42" i="1"/>
  <c r="K41" i="1"/>
  <c r="K40" i="1"/>
  <c r="K39" i="1"/>
  <c r="K37" i="1"/>
  <c r="K36" i="1"/>
  <c r="K35" i="1"/>
  <c r="K34" i="1"/>
  <c r="K33" i="1"/>
  <c r="K32" i="1"/>
  <c r="K31" i="1"/>
  <c r="K30" i="1"/>
  <c r="K29" i="1"/>
  <c r="K28" i="1"/>
  <c r="K27" i="1"/>
  <c r="K25" i="1"/>
  <c r="K24" i="1"/>
  <c r="K23" i="1"/>
  <c r="K21" i="1"/>
  <c r="K19" i="1"/>
  <c r="K18" i="1"/>
  <c r="K15" i="1"/>
  <c r="K14" i="1"/>
  <c r="K13" i="1"/>
  <c r="K12" i="1"/>
  <c r="K11" i="1"/>
  <c r="K10" i="1"/>
  <c r="I86" i="1"/>
  <c r="I85" i="1"/>
  <c r="I84" i="1"/>
  <c r="I82" i="1"/>
  <c r="I80" i="1"/>
  <c r="I79" i="1"/>
  <c r="I77" i="1"/>
  <c r="I76" i="1"/>
  <c r="I75" i="1"/>
  <c r="I74" i="1"/>
  <c r="I72" i="1"/>
  <c r="I71" i="1"/>
  <c r="I70" i="1"/>
  <c r="I69" i="1"/>
  <c r="I68" i="1"/>
  <c r="I66" i="1"/>
  <c r="I65" i="1"/>
  <c r="I64" i="1"/>
  <c r="I63" i="1"/>
  <c r="I62" i="1"/>
  <c r="I61" i="1"/>
  <c r="I60" i="1"/>
  <c r="I58" i="1"/>
  <c r="I57" i="1"/>
  <c r="I56" i="1"/>
  <c r="I54" i="1"/>
  <c r="I53" i="1"/>
  <c r="I52" i="1"/>
  <c r="I51" i="1"/>
  <c r="I50" i="1"/>
  <c r="I49" i="1"/>
  <c r="I48" i="1"/>
  <c r="I47" i="1"/>
  <c r="I45" i="1"/>
  <c r="I44" i="1"/>
  <c r="I42" i="1"/>
  <c r="I41" i="1"/>
  <c r="I40" i="1"/>
  <c r="I39" i="1"/>
  <c r="I37" i="1"/>
  <c r="I36" i="1"/>
  <c r="I35" i="1"/>
  <c r="I34" i="1"/>
  <c r="I33" i="1"/>
  <c r="I32" i="1"/>
  <c r="I31" i="1"/>
  <c r="I30" i="1"/>
  <c r="I29" i="1"/>
  <c r="I28" i="1"/>
  <c r="I27" i="1"/>
  <c r="I25" i="1"/>
  <c r="I24" i="1"/>
  <c r="I23" i="1"/>
  <c r="I21" i="1"/>
  <c r="I19" i="1"/>
  <c r="I18" i="1"/>
  <c r="I15" i="1"/>
  <c r="I14" i="1"/>
  <c r="I13" i="1"/>
  <c r="I12" i="1"/>
  <c r="I11" i="1"/>
  <c r="I10" i="1"/>
  <c r="G11" i="1"/>
  <c r="G12" i="1"/>
  <c r="G13" i="1"/>
  <c r="G14" i="1"/>
  <c r="G15" i="1"/>
  <c r="G18" i="1"/>
  <c r="G21" i="1"/>
  <c r="G23" i="1"/>
  <c r="G24" i="1"/>
  <c r="G25" i="1"/>
  <c r="G27" i="1"/>
  <c r="G28" i="1"/>
  <c r="G29" i="1"/>
  <c r="G31" i="1"/>
  <c r="G32" i="1"/>
  <c r="G33" i="1"/>
  <c r="G34" i="1"/>
  <c r="G35" i="1"/>
  <c r="G36" i="1"/>
  <c r="G39" i="1"/>
  <c r="G41" i="1"/>
  <c r="G42" i="1"/>
  <c r="G44" i="1"/>
  <c r="G47" i="1"/>
  <c r="G48" i="1"/>
  <c r="G49" i="1"/>
  <c r="G51" i="1"/>
  <c r="G53" i="1"/>
  <c r="G54" i="1"/>
  <c r="G57" i="1"/>
  <c r="G58" i="1"/>
  <c r="G62" i="1"/>
  <c r="G68" i="1"/>
  <c r="G71" i="1"/>
  <c r="G74" i="1"/>
  <c r="G75" i="1"/>
  <c r="G77" i="1"/>
  <c r="G79" i="1"/>
  <c r="G80" i="1"/>
  <c r="G82" i="1"/>
  <c r="G84" i="1"/>
  <c r="G85" i="1"/>
  <c r="G86" i="1"/>
  <c r="G10" i="1"/>
  <c r="E11" i="1"/>
  <c r="E12" i="1"/>
  <c r="E13" i="1"/>
  <c r="E14" i="1"/>
  <c r="E15" i="1"/>
  <c r="E16" i="1"/>
  <c r="E18" i="1"/>
  <c r="E21" i="1"/>
  <c r="E23" i="1"/>
  <c r="E24" i="1"/>
  <c r="E25" i="1"/>
  <c r="E27" i="1"/>
  <c r="E29" i="1"/>
  <c r="E31" i="1"/>
  <c r="E32" i="1"/>
  <c r="E33" i="1"/>
  <c r="E34" i="1"/>
  <c r="E35" i="1"/>
  <c r="E36" i="1"/>
  <c r="E39" i="1"/>
  <c r="E41" i="1"/>
  <c r="E42" i="1"/>
  <c r="E44" i="1"/>
  <c r="E47" i="1"/>
  <c r="E48" i="1"/>
  <c r="E49" i="1"/>
  <c r="E51" i="1"/>
  <c r="E53" i="1"/>
  <c r="E54" i="1"/>
  <c r="E57" i="1"/>
  <c r="E58" i="1"/>
  <c r="E62" i="1"/>
  <c r="E68" i="1"/>
  <c r="E71" i="1"/>
  <c r="E74" i="1"/>
  <c r="E75" i="1"/>
  <c r="E77" i="1"/>
  <c r="E79" i="1"/>
  <c r="E80" i="1"/>
  <c r="E82" i="1"/>
  <c r="E84" i="1"/>
  <c r="E85" i="1"/>
  <c r="E86" i="1"/>
  <c r="E10" i="1"/>
  <c r="D70" i="1" l="1"/>
  <c r="D40" i="1"/>
  <c r="D76" i="1"/>
  <c r="D19" i="1"/>
  <c r="D52" i="1"/>
  <c r="D56" i="1"/>
  <c r="D69" i="1"/>
  <c r="D72" i="1"/>
  <c r="D50" i="1"/>
  <c r="D66" i="1"/>
  <c r="D65" i="1"/>
  <c r="D64" i="1"/>
  <c r="D63" i="1"/>
  <c r="D61" i="1"/>
  <c r="D60" i="1"/>
  <c r="D45" i="1"/>
  <c r="G56" i="1" l="1"/>
  <c r="E56" i="1"/>
  <c r="G52" i="1"/>
  <c r="E52" i="1"/>
  <c r="E45" i="1"/>
  <c r="G45" i="1"/>
  <c r="G61" i="1"/>
  <c r="E61" i="1"/>
  <c r="E76" i="1"/>
  <c r="G76" i="1"/>
  <c r="G60" i="1"/>
  <c r="E60" i="1"/>
  <c r="E63" i="1"/>
  <c r="G63" i="1"/>
  <c r="G64" i="1"/>
  <c r="E64" i="1"/>
  <c r="G66" i="1"/>
  <c r="E66" i="1"/>
  <c r="E40" i="1"/>
  <c r="G40" i="1"/>
  <c r="E72" i="1"/>
  <c r="G72" i="1"/>
  <c r="G69" i="1"/>
  <c r="E69" i="1"/>
  <c r="G19" i="1"/>
  <c r="E19" i="1"/>
  <c r="G65" i="1"/>
  <c r="E65" i="1"/>
  <c r="G50" i="1"/>
  <c r="E50" i="1"/>
  <c r="E70" i="1"/>
  <c r="G70" i="1"/>
  <c r="D37" i="1"/>
  <c r="D17" i="1"/>
  <c r="G37" i="1" l="1"/>
  <c r="E37" i="1"/>
  <c r="D30" i="1"/>
  <c r="G30" i="1" l="1"/>
  <c r="E30" i="1"/>
  <c r="C83" i="1"/>
  <c r="C81" i="1"/>
  <c r="C78" i="1"/>
  <c r="C73" i="1"/>
  <c r="C67" i="1"/>
  <c r="C59" i="1"/>
  <c r="C55" i="1"/>
  <c r="C46" i="1"/>
  <c r="C43" i="1"/>
  <c r="C38" i="1"/>
  <c r="C26" i="1"/>
  <c r="C22" i="1"/>
  <c r="C9" i="1"/>
  <c r="D73" i="1" l="1"/>
  <c r="E73" i="1" s="1"/>
  <c r="F73" i="1"/>
  <c r="H73" i="1"/>
  <c r="J73" i="1"/>
  <c r="K73" i="1" s="1"/>
  <c r="D22" i="1"/>
  <c r="E22" i="1" s="1"/>
  <c r="D20" i="1"/>
  <c r="D9" i="1"/>
  <c r="E9" i="1" s="1"/>
  <c r="D83" i="1"/>
  <c r="E83" i="1" s="1"/>
  <c r="D81" i="1"/>
  <c r="E81" i="1" s="1"/>
  <c r="D78" i="1"/>
  <c r="E78" i="1" s="1"/>
  <c r="D67" i="1"/>
  <c r="E67" i="1" s="1"/>
  <c r="D59" i="1"/>
  <c r="E59" i="1" s="1"/>
  <c r="D55" i="1"/>
  <c r="E55" i="1" s="1"/>
  <c r="D46" i="1"/>
  <c r="E46" i="1" s="1"/>
  <c r="D43" i="1"/>
  <c r="E43" i="1" s="1"/>
  <c r="D38" i="1"/>
  <c r="E38" i="1" s="1"/>
  <c r="D26" i="1"/>
  <c r="E26" i="1" s="1"/>
  <c r="I73" i="1" l="1"/>
  <c r="G73" i="1"/>
  <c r="D8" i="1"/>
  <c r="H83" i="1"/>
  <c r="J83" i="1"/>
  <c r="F83" i="1"/>
  <c r="H81" i="1"/>
  <c r="J81" i="1"/>
  <c r="F81" i="1"/>
  <c r="G81" i="1" s="1"/>
  <c r="J78" i="1"/>
  <c r="F78" i="1"/>
  <c r="G78" i="1" s="1"/>
  <c r="H78" i="1"/>
  <c r="H67" i="1"/>
  <c r="J67" i="1"/>
  <c r="F67" i="1"/>
  <c r="H59" i="1"/>
  <c r="J59" i="1"/>
  <c r="F59" i="1"/>
  <c r="H55" i="1"/>
  <c r="J55" i="1"/>
  <c r="F55" i="1"/>
  <c r="G55" i="1" s="1"/>
  <c r="J46" i="1"/>
  <c r="F46" i="1"/>
  <c r="H46" i="1"/>
  <c r="H43" i="1"/>
  <c r="J43" i="1"/>
  <c r="F43" i="1"/>
  <c r="G43" i="1" s="1"/>
  <c r="J38" i="1"/>
  <c r="F38" i="1"/>
  <c r="H38" i="1"/>
  <c r="H26" i="1"/>
  <c r="J26" i="1"/>
  <c r="F26" i="1"/>
  <c r="H22" i="1"/>
  <c r="J22" i="1"/>
  <c r="F22" i="1"/>
  <c r="G22" i="1" s="1"/>
  <c r="H20" i="1"/>
  <c r="J20" i="1"/>
  <c r="F20" i="1"/>
  <c r="G20" i="1" s="1"/>
  <c r="C20" i="1"/>
  <c r="E20" i="1" s="1"/>
  <c r="J9" i="1"/>
  <c r="F9" i="1"/>
  <c r="H9" i="1"/>
  <c r="K46" i="1" l="1"/>
  <c r="K81" i="1"/>
  <c r="I43" i="1"/>
  <c r="K59" i="1"/>
  <c r="K38" i="1"/>
  <c r="I55" i="1"/>
  <c r="I81" i="1"/>
  <c r="K20" i="1"/>
  <c r="I20" i="1"/>
  <c r="K55" i="1"/>
  <c r="I78" i="1"/>
  <c r="K83" i="1"/>
  <c r="K9" i="1"/>
  <c r="D88" i="1"/>
  <c r="K43" i="1"/>
  <c r="K78" i="1"/>
  <c r="I83" i="1"/>
  <c r="G83" i="1"/>
  <c r="K67" i="1"/>
  <c r="I67" i="1"/>
  <c r="G67" i="1"/>
  <c r="I59" i="1"/>
  <c r="G59" i="1"/>
  <c r="I46" i="1"/>
  <c r="G46" i="1"/>
  <c r="G38" i="1"/>
  <c r="I38" i="1"/>
  <c r="K26" i="1"/>
  <c r="G26" i="1"/>
  <c r="I26" i="1"/>
  <c r="K22" i="1"/>
  <c r="I22" i="1"/>
  <c r="I9" i="1"/>
  <c r="G9" i="1"/>
  <c r="F8" i="1"/>
  <c r="J8" i="1"/>
  <c r="H8" i="1"/>
  <c r="C8" i="1"/>
  <c r="C88" i="1" s="1"/>
  <c r="J88" i="1" l="1"/>
  <c r="E8" i="1"/>
  <c r="E88" i="1"/>
  <c r="H88" i="1"/>
  <c r="K88" i="1" s="1"/>
  <c r="K8" i="1"/>
  <c r="F88" i="1"/>
  <c r="I8" i="1"/>
  <c r="G8" i="1"/>
  <c r="I88" i="1" l="1"/>
  <c r="G88" i="1"/>
</calcChain>
</file>

<file path=xl/sharedStrings.xml><?xml version="1.0" encoding="utf-8"?>
<sst xmlns="http://schemas.openxmlformats.org/spreadsheetml/2006/main" count="155" uniqueCount="155">
  <si>
    <t>КФСР</t>
  </si>
  <si>
    <t>Проект</t>
  </si>
  <si>
    <t>2025 год</t>
  </si>
  <si>
    <t>ВСЕГО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</si>
  <si>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</si>
  <si>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</si>
  <si>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</si>
  <si>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</si>
  <si>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</si>
  <si>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</si>
  <si>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</si>
  <si>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</si>
  <si>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</si>
  <si>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</si>
  <si>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</si>
  <si>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</si>
  <si>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0107</t>
  </si>
  <si>
    <t>Обеспечение проведения выборов и референдумов</t>
  </si>
  <si>
    <t>0111</t>
  </si>
  <si>
    <t>Резервные фонды</t>
  </si>
  <si>
    <t>0112</t>
  </si>
  <si>
    <t>Прикладные научные исследования в области общегосударственных вопросов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</si>
  <si>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</si>
  <si>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</si>
  <si>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</si>
  <si>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</si>
  <si>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</si>
  <si>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</si>
  <si>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</si>
  <si>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0309</t>
  </si>
  <si>
    <t>Гражданская оборона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</si>
  <si>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</si>
  <si>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</si>
  <si>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</si>
  <si>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</si>
  <si>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</si>
  <si>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</si>
  <si>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0401</t>
  </si>
  <si>
    <t>Общеэкономические вопросы</t>
  </si>
  <si>
    <t>0404</t>
  </si>
  <si>
    <t>Воспроизводство минерально-сырьевой базы</t>
  </si>
  <si>
    <t>0405</t>
  </si>
  <si>
    <t>Сельское хозяйство и рыболовство</t>
  </si>
  <si>
    <t>0406</t>
  </si>
  <si>
    <t>Водное хозяйство</t>
  </si>
  <si>
    <t>0407</t>
  </si>
  <si>
    <t>Лесное хозяйство</t>
  </si>
  <si>
    <t>0408</t>
  </si>
  <si>
    <t>Транспорт</t>
  </si>
  <si>
    <t>0409</t>
  </si>
  <si>
    <t>Дорожное хозяйство (дорожные фонды)</t>
  </si>
  <si>
    <t>0410</t>
  </si>
  <si>
    <t>Связь и информатика</t>
  </si>
  <si>
    <t>0411</t>
  </si>
  <si>
    <t>Прикладные научные исследования в области национальной экономики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</si>
  <si>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</si>
  <si>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</si>
  <si>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</si>
  <si>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</si>
  <si>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</si>
  <si>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</si>
  <si>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</si>
  <si>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</si>
  <si>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</si>
  <si>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</si>
  <si>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</si>
  <si>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</si>
  <si>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</si>
  <si>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</si>
  <si>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</si>
  <si>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</si>
  <si>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0605</t>
  </si>
  <si>
    <t>Другие вопросы в области охраны окружающей среды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</si>
  <si>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</si>
  <si>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</si>
  <si>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</si>
  <si>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</si>
  <si>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</si>
  <si>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</si>
  <si>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</si>
  <si>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</si>
  <si>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0704</t>
  </si>
  <si>
    <t>Среднее профессиональное образование</t>
  </si>
  <si>
    <t>0705</t>
  </si>
  <si>
    <t>Профессиональная подготовка, переподготовка и повышение квалификации</t>
  </si>
  <si>
    <t>0706</t>
  </si>
  <si>
    <t>Высшее и послевузовское профессиональное образование</t>
  </si>
  <si>
    <t>0707</t>
  </si>
  <si>
    <t>Молодежная политика и оздоровление детей</t>
  </si>
  <si>
    <t>0709</t>
  </si>
  <si>
    <t>Другие вопросы в области образования</t>
  </si>
  <si>
    <t>0800</t>
  </si>
  <si>
    <t>КУЛЬТУРА,  КИНЕМАТОГРАФИЯ</t>
  </si>
  <si>
    <t>0801</t>
  </si>
  <si>
    <t>Культура</t>
  </si>
  <si>
    <t>0802</t>
  </si>
  <si>
    <t>Кинематография</t>
  </si>
  <si>
    <t>0804</t>
  </si>
  <si>
    <t>Другие вопросы в области культуры, кинематографии</t>
  </si>
  <si>
    <t>0900</t>
  </si>
  <si>
    <t>ЗДРАВООХРАНЕНИЕ</t>
  </si>
  <si>
    <t>0901</t>
  </si>
  <si>
    <t>Стационарная медицинская помощь</t>
  </si>
  <si>
    <t>0902</t>
  </si>
  <si>
    <t>Амбулаторная помощь</t>
  </si>
  <si>
    <t>0903</t>
  </si>
  <si>
    <t>Медицинская помощь в дневных стационарах всех типов</t>
  </si>
  <si>
    <t>0904</t>
  </si>
  <si>
    <t>Скорая медицинская помощь</t>
  </si>
  <si>
    <t>0905</t>
  </si>
  <si>
    <t>Санаторно-оздоровительная помощь</t>
  </si>
  <si>
    <t>0906</t>
  </si>
  <si>
    <t>Заготовка, переработка, хранение и обеспечение безопасности донорской крови и ее компонентов</t>
  </si>
  <si>
    <t>0909</t>
  </si>
  <si>
    <t>Другие вопросы в области здравоохранения</t>
  </si>
  <si>
    <t>СОЦИАЛЬНАЯ ПОЛИТИКА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</si>
  <si>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</si>
  <si>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</si>
  <si>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</si>
  <si>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</si>
  <si>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</si>
  <si>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</si>
  <si>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</si>
  <si>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</si>
  <si>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</si>
  <si>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СРЕДСТВА МАССОВОЙ ИНФОРМАЦИИ</t>
  </si>
  <si>
    <t>Телевидение и радиовещание</t>
  </si>
  <si>
    <t>Периодическая печать и издательства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</si>
  <si>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</si>
  <si>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</si>
  <si>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МЕЖБЮДЖЕТНЫЕ ТРАНСФЕРТЫ ОБЩЕГО ХАРАКТЕРА БЮДЖЕТАМ СУБЪЕКТОВ РОССИЙСКОЙ ФЕДЕРАЦИИ И МУНИЦИПАЛЬНЫХ ОБРАЗОВАНИЙ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</si>
  <si>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</si>
  <si>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</si>
  <si>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Прочие межбюджетные трансферты общего характера</t>
  </si>
  <si>
    <t>Условно утвержденные расходы</t>
  </si>
  <si>
    <t>Всего</t>
  </si>
  <si>
    <t>Другие вопросы в области физической культуры и спорта</t>
  </si>
  <si>
    <t xml:space="preserve">Наименование раздела/подраздела классифцикации расходов </t>
  </si>
  <si>
    <t>0113</t>
  </si>
  <si>
    <t>0108</t>
  </si>
  <si>
    <t>Международные отношения и международное сотрудничество</t>
  </si>
  <si>
    <t>1105</t>
  </si>
  <si>
    <t>2026 год</t>
  </si>
  <si>
    <t>Расходы областного бюджета Ленинградской области 
по разделам и подразделам классификации расходов в 2023 - 2027 годах</t>
  </si>
  <si>
    <t>Отчет за
2023 год</t>
  </si>
  <si>
    <t>Ожидаемое исполнение 2024 года</t>
  </si>
  <si>
    <t>2027 год</t>
  </si>
  <si>
    <t>Топливно-энергетический комплекс</t>
  </si>
  <si>
    <t>0402</t>
  </si>
  <si>
    <t>Приложение 6 к пояснительной записке 2025 года</t>
  </si>
  <si>
    <t>% к 2023 году</t>
  </si>
  <si>
    <t>% к 2024 году</t>
  </si>
  <si>
    <t>% к 2025 году</t>
  </si>
  <si>
    <t>% к 2026 году</t>
  </si>
  <si>
    <t>тыс. 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</si>
</sst>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164" fontId="7" fillId="0" borderId="5">
      <alignment horizontal="right" vertical="center" indent="1"/>
    </xf>
  </cellStyleXfs>
  <cellXfs count="37">
    <xf numFmtId="0" fontId="0" fillId="0" borderId="0" xfId="0"/>
    <xf numFmtId="0" fontId="1" fillId="0" borderId="0" xfId="0" applyFont="1" applyFill="1" applyBorder="1" applyAlignment="1">
      <alignment horizontal="right"/>
    </xf>
    <xf numFmtId="0" fontId="2" fillId="3" borderId="3" xfId="0" applyFont="1" applyFill="1" applyBorder="1" applyAlignment="1">
      <alignment vertical="center"/>
    </xf>
    <xf numFmtId="49" fontId="2" fillId="2" borderId="3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" fillId="0" borderId="0" xfId="0" applyFont="1"/>
    <xf numFmtId="0" fontId="5" fillId="0" borderId="0" xfId="0" applyFont="1"/>
    <xf numFmtId="0" fontId="1" fillId="2" borderId="3" xfId="0" applyFont="1" applyFill="1" applyBorder="1"/>
    <xf numFmtId="49" fontId="2" fillId="2" borderId="3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vertical="center" wrapText="1"/>
    </xf>
    <xf numFmtId="0" fontId="6" fillId="0" borderId="0" xfId="0" applyFont="1"/>
    <xf numFmtId="0" fontId="3" fillId="0" borderId="0" xfId="0" applyFont="1"/>
    <xf numFmtId="0" fontId="1" fillId="4" borderId="3" xfId="0" applyFont="1" applyFill="1" applyBorder="1"/>
    <xf numFmtId="0" fontId="2" fillId="4" borderId="3" xfId="0" applyFont="1" applyFill="1" applyBorder="1" applyAlignment="1">
      <alignment horizontal="left" vertical="center" wrapText="1"/>
    </xf>
    <xf numFmtId="164" fontId="2" fillId="4" borderId="3" xfId="0" applyNumberFormat="1" applyFont="1" applyFill="1" applyBorder="1" applyAlignment="1">
      <alignment horizontal="center" vertical="center"/>
    </xf>
    <xf numFmtId="0" fontId="1" fillId="0" borderId="3" xfId="0" applyFont="1" applyFill="1" applyBorder="1"/>
    <xf numFmtId="49" fontId="1" fillId="0" borderId="4" xfId="0" applyNumberFormat="1" applyFont="1" applyFill="1" applyBorder="1" applyAlignment="1" applyProtection="1">
      <alignment horizontal="left" wrapText="1"/>
    </xf>
    <xf numFmtId="164" fontId="1" fillId="0" borderId="3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/>
    </xf>
    <xf numFmtId="0" fontId="4" fillId="0" borderId="0" xfId="0" applyFont="1" applyFill="1"/>
    <xf numFmtId="164" fontId="2" fillId="0" borderId="3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top" wrapText="1"/>
    </xf>
    <xf numFmtId="164" fontId="2" fillId="0" borderId="4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Fill="1"/>
    <xf numFmtId="49" fontId="2" fillId="2" borderId="3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49" fontId="2" fillId="2" borderId="2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2" fillId="0" borderId="2" xfId="0" applyNumberFormat="1" applyFont="1" applyFill="1" applyBorder="1" applyAlignment="1" applyProtection="1">
      <alignment horizontal="center" vertical="center" wrapText="1"/>
    </xf>
  </cellXfs>
  <cellStyles count="2">
    <cellStyle name="xl33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K88"/>
  <sheetViews>
    <sheetView tabSelected="1" view="pageBreakPreview" topLeftCell="B1" zoomScaleNormal="120" zoomScaleSheetLayoutView="100" workbookViewId="0">
      <selection activeCell="F6" sqref="F6:K6"/>
    </sheetView>
  </sheetViews>
  <sheetFormatPr defaultRowHeight="15.75" x14ac:dyDescent="0.25"/>
  <cols>
    <col min="1" max="1" width="8" style="14" customWidth="1"/>
    <col min="2" max="2" width="37" style="14" customWidth="1"/>
    <col min="3" max="3" width="16.42578125" style="28" customWidth="1"/>
    <col min="4" max="4" width="16.42578125" style="15" customWidth="1"/>
    <col min="5" max="5" width="11.85546875" style="15" customWidth="1"/>
    <col min="6" max="6" width="18.140625" style="14" customWidth="1"/>
    <col min="7" max="7" width="11.7109375" style="14" customWidth="1"/>
    <col min="8" max="8" width="18" style="14" customWidth="1"/>
    <col min="9" max="9" width="12.7109375" style="14" customWidth="1"/>
    <col min="10" max="10" width="18.28515625" style="14" customWidth="1"/>
    <col min="11" max="11" width="11.85546875" style="14" customWidth="1"/>
    <col min="12" max="16384" width="9.140625" style="7"/>
  </cols>
  <sheetData>
    <row r="1" spans="1:11" s="24" customFormat="1" x14ac:dyDescent="0.25">
      <c r="A1" s="4"/>
      <c r="B1" s="4"/>
      <c r="C1" s="5"/>
      <c r="D1" s="6"/>
      <c r="E1" s="6"/>
      <c r="F1" s="4"/>
      <c r="G1" s="4"/>
      <c r="H1" s="4"/>
      <c r="I1" s="4"/>
      <c r="K1" s="1" t="s">
        <v>149</v>
      </c>
    </row>
    <row r="2" spans="1:11" s="24" customFormat="1" x14ac:dyDescent="0.25">
      <c r="A2" s="4"/>
      <c r="B2" s="4"/>
      <c r="C2" s="5"/>
      <c r="D2" s="6"/>
      <c r="E2" s="6"/>
      <c r="F2" s="4"/>
      <c r="G2" s="4"/>
      <c r="H2" s="4"/>
      <c r="I2" s="4"/>
      <c r="J2" s="1"/>
      <c r="K2" s="4"/>
    </row>
    <row r="3" spans="1:11" s="24" customFormat="1" ht="40.5" customHeight="1" x14ac:dyDescent="0.25">
      <c r="A3" s="30" t="s">
        <v>143</v>
      </c>
      <c r="B3" s="30"/>
      <c r="C3" s="30"/>
      <c r="D3" s="30"/>
      <c r="E3" s="30"/>
      <c r="F3" s="30"/>
      <c r="G3" s="30"/>
      <c r="H3" s="30"/>
      <c r="I3" s="30"/>
      <c r="J3" s="30"/>
      <c r="K3" s="30"/>
    </row>
    <row r="4" spans="1:11" s="24" customFormat="1" x14ac:dyDescent="0.25">
      <c r="A4" s="4"/>
      <c r="B4" s="4"/>
      <c r="C4" s="5"/>
      <c r="D4" s="6"/>
      <c r="E4" s="6"/>
      <c r="F4" s="4"/>
      <c r="G4" s="4"/>
      <c r="H4" s="4"/>
      <c r="I4" s="4"/>
      <c r="J4" s="4"/>
      <c r="K4" s="4"/>
    </row>
    <row r="5" spans="1:11" s="24" customFormat="1" x14ac:dyDescent="0.25">
      <c r="A5" s="4"/>
      <c r="B5" s="4"/>
      <c r="C5" s="5"/>
      <c r="D5" s="6"/>
      <c r="E5" s="6"/>
      <c r="F5" s="4"/>
      <c r="G5" s="4"/>
      <c r="H5" s="4"/>
      <c r="I5" s="4"/>
      <c r="K5" s="1" t="s">
        <v>154</v>
      </c>
    </row>
    <row r="6" spans="1:11" s="8" customFormat="1" x14ac:dyDescent="0.25">
      <c r="A6" s="31" t="s">
        <v>0</v>
      </c>
      <c r="B6" s="33" t="s">
        <v>137</v>
      </c>
      <c r="C6" s="35" t="s">
        <v>144</v>
      </c>
      <c r="D6" s="33" t="s">
        <v>145</v>
      </c>
      <c r="E6" s="33" t="s">
        <v>150</v>
      </c>
      <c r="F6" s="29" t="s">
        <v>1</v>
      </c>
      <c r="G6" s="29"/>
      <c r="H6" s="29"/>
      <c r="I6" s="29"/>
      <c r="J6" s="29"/>
      <c r="K6" s="29"/>
    </row>
    <row r="7" spans="1:11" s="8" customFormat="1" ht="45" customHeight="1" x14ac:dyDescent="0.25">
      <c r="A7" s="32"/>
      <c r="B7" s="34"/>
      <c r="C7" s="36"/>
      <c r="D7" s="34"/>
      <c r="E7" s="34"/>
      <c r="F7" s="3" t="s">
        <v>2</v>
      </c>
      <c r="G7" s="3" t="s">
        <v>151</v>
      </c>
      <c r="H7" s="3" t="s">
        <v>142</v>
      </c>
      <c r="I7" s="3" t="s">
        <v>152</v>
      </c>
      <c r="J7" s="3" t="s">
        <v>146</v>
      </c>
      <c r="K7" s="3" t="s">
        <v>153</v>
      </c>
    </row>
    <row r="8" spans="1:11" x14ac:dyDescent="0.25">
      <c r="A8" s="16"/>
      <c r="B8" s="17" t="s">
        <v>3</v>
      </c>
      <c r="C8" s="18">
        <f>C9+C20+C22+C26+C38+C43+C46+C55+C59+C67+C73+C78+C81+C83</f>
        <v>215318586.39999998</v>
      </c>
      <c r="D8" s="18">
        <f>D9+D20+D22+D26+D38+D43+D46+D55+D59+D67+D73+D78+D81+D83</f>
        <v>252918360.70000005</v>
      </c>
      <c r="E8" s="18">
        <f>D8/C8*100</f>
        <v>117.46239139344455</v>
      </c>
      <c r="F8" s="18">
        <f>F9+F20+F22+F26+F38+F43+F46+F55+F59+F67+F73+F78+F81+F83</f>
        <v>263478758.20000002</v>
      </c>
      <c r="G8" s="18">
        <f>F8/D8*100</f>
        <v>104.17541750261708</v>
      </c>
      <c r="H8" s="18">
        <f>H9+H20+H22+H26+H38+H43+H46+H55+H59+H67+H73+H78+H81+H83</f>
        <v>247461068.70000002</v>
      </c>
      <c r="I8" s="18">
        <f>H8/F8*100</f>
        <v>93.920690377688288</v>
      </c>
      <c r="J8" s="18">
        <f>J9+J20+J22+J26+J38+J43+J46+J55+J59+J67+J73+J78+J81+J83</f>
        <v>232578058.60000005</v>
      </c>
      <c r="K8" s="18">
        <f>J8/H8*100</f>
        <v>93.985716550006984</v>
      </c>
    </row>
    <row r="9" spans="1:11" ht="31.5" x14ac:dyDescent="0.25">
      <c r="A9" s="10" t="s">
        <v>4</v>
      </c>
      <c r="B9" s="11" t="s">
        <v>5</v>
      </c>
      <c r="C9" s="25">
        <f>SUM(C10:C19)</f>
        <v>10226081.5</v>
      </c>
      <c r="D9" s="25">
        <f>SUM(D10:D19)</f>
        <v>11538463.300000001</v>
      </c>
      <c r="E9" s="25">
        <f>D9/C9*100</f>
        <v>112.83367240912368</v>
      </c>
      <c r="F9" s="25">
        <f>SUM(F10:F19)</f>
        <v>32456694.600000001</v>
      </c>
      <c r="G9" s="25">
        <f>F9/D9*100</f>
        <v>281.2913102561933</v>
      </c>
      <c r="H9" s="25">
        <f>SUM(H10:H19)</f>
        <v>32382076.300000001</v>
      </c>
      <c r="I9" s="25">
        <f>H9/F9*100</f>
        <v>99.770098893557687</v>
      </c>
      <c r="J9" s="25">
        <f>SUM(J10:J19)</f>
        <v>32518463.899999999</v>
      </c>
      <c r="K9" s="25">
        <f>J9/H9*100</f>
        <v>100.42118238106923</v>
      </c>
    </row>
    <row r="10" spans="1:11" ht="63" x14ac:dyDescent="0.25">
      <c r="A10" s="12" t="s">
        <v>6</v>
      </c>
      <c r="B10" s="13" t="s">
        <v>7</v>
      </c>
      <c r="C10" s="21">
        <v>8502.6</v>
      </c>
      <c r="D10" s="21">
        <v>8865.1</v>
      </c>
      <c r="E10" s="21">
        <f>D10/C10*100</f>
        <v>104.26340178298403</v>
      </c>
      <c r="F10" s="21">
        <v>9860.5</v>
      </c>
      <c r="G10" s="21">
        <f>F10/D10*100</f>
        <v>111.22829973717161</v>
      </c>
      <c r="H10" s="21">
        <v>9860.5</v>
      </c>
      <c r="I10" s="21">
        <f>H10/F10*100</f>
        <v>100</v>
      </c>
      <c r="J10" s="21">
        <v>9860.5</v>
      </c>
      <c r="K10" s="21">
        <f>J10/H10*100</f>
        <v>100</v>
      </c>
    </row>
    <row r="11" spans="1:11" ht="94.5" x14ac:dyDescent="0.25">
      <c r="A11" s="12" t="s">
        <v>8</v>
      </c>
      <c r="B11" s="13" t="s">
        <v>9</v>
      </c>
      <c r="C11" s="21">
        <v>701984.6</v>
      </c>
      <c r="D11" s="21">
        <v>794198.1</v>
      </c>
      <c r="E11" s="21">
        <f t="shared" ref="E11:E74" si="0">D11/C11*100</f>
        <v>113.13611438199642</v>
      </c>
      <c r="F11" s="21">
        <v>943322.7</v>
      </c>
      <c r="G11" s="21">
        <f t="shared" ref="G11:K74" si="1">F11/D11*100</f>
        <v>118.77675103982244</v>
      </c>
      <c r="H11" s="21">
        <v>943281.9</v>
      </c>
      <c r="I11" s="21">
        <f t="shared" si="1"/>
        <v>99.995674862907464</v>
      </c>
      <c r="J11" s="21">
        <v>943281.9</v>
      </c>
      <c r="K11" s="21">
        <f t="shared" si="1"/>
        <v>100</v>
      </c>
    </row>
    <row r="12" spans="1:11" ht="94.5" x14ac:dyDescent="0.25">
      <c r="A12" s="12" t="s">
        <v>10</v>
      </c>
      <c r="B12" s="13" t="s">
        <v>11</v>
      </c>
      <c r="C12" s="21">
        <v>4455316</v>
      </c>
      <c r="D12" s="21">
        <v>4811746.2</v>
      </c>
      <c r="E12" s="21">
        <f t="shared" si="0"/>
        <v>108.00011042987747</v>
      </c>
      <c r="F12" s="21">
        <v>5266765.8</v>
      </c>
      <c r="G12" s="21">
        <f t="shared" si="1"/>
        <v>109.45643392413341</v>
      </c>
      <c r="H12" s="21">
        <v>5261989.4000000004</v>
      </c>
      <c r="I12" s="21">
        <f t="shared" si="1"/>
        <v>99.909310567787173</v>
      </c>
      <c r="J12" s="21">
        <v>5269989.4000000004</v>
      </c>
      <c r="K12" s="21">
        <f t="shared" si="1"/>
        <v>100.15203375362178</v>
      </c>
    </row>
    <row r="13" spans="1:11" x14ac:dyDescent="0.25">
      <c r="A13" s="12" t="s">
        <v>12</v>
      </c>
      <c r="B13" s="13" t="s">
        <v>13</v>
      </c>
      <c r="C13" s="21">
        <v>577170.30000000005</v>
      </c>
      <c r="D13" s="21">
        <v>618668.20000000007</v>
      </c>
      <c r="E13" s="21">
        <f t="shared" si="0"/>
        <v>107.18988832238942</v>
      </c>
      <c r="F13" s="21">
        <f>710879.9+20089.6</f>
        <v>730969.5</v>
      </c>
      <c r="G13" s="21">
        <f t="shared" si="1"/>
        <v>118.15210479542991</v>
      </c>
      <c r="H13" s="21">
        <v>641148.69999999995</v>
      </c>
      <c r="I13" s="21">
        <f t="shared" si="1"/>
        <v>87.712100162865895</v>
      </c>
      <c r="J13" s="21">
        <v>637451.6</v>
      </c>
      <c r="K13" s="21">
        <f t="shared" si="1"/>
        <v>99.423363098139333</v>
      </c>
    </row>
    <row r="14" spans="1:11" ht="78.75" x14ac:dyDescent="0.25">
      <c r="A14" s="12" t="s">
        <v>14</v>
      </c>
      <c r="B14" s="13" t="s">
        <v>15</v>
      </c>
      <c r="C14" s="21">
        <v>117724.2</v>
      </c>
      <c r="D14" s="21">
        <v>130125</v>
      </c>
      <c r="E14" s="21">
        <f t="shared" si="0"/>
        <v>110.53377300504059</v>
      </c>
      <c r="F14" s="21">
        <v>141099.79999999999</v>
      </c>
      <c r="G14" s="21">
        <f t="shared" si="1"/>
        <v>108.43404418828048</v>
      </c>
      <c r="H14" s="21">
        <v>141278.79999999999</v>
      </c>
      <c r="I14" s="21">
        <f t="shared" si="1"/>
        <v>100.12686056252382</v>
      </c>
      <c r="J14" s="21">
        <v>141374.29999999999</v>
      </c>
      <c r="K14" s="21">
        <f t="shared" si="1"/>
        <v>100.06759683689272</v>
      </c>
    </row>
    <row r="15" spans="1:11" ht="31.5" x14ac:dyDescent="0.25">
      <c r="A15" s="12" t="s">
        <v>16</v>
      </c>
      <c r="B15" s="13" t="s">
        <v>17</v>
      </c>
      <c r="C15" s="21">
        <v>132443.70000000001</v>
      </c>
      <c r="D15" s="21">
        <v>362442.7</v>
      </c>
      <c r="E15" s="21">
        <f t="shared" si="0"/>
        <v>273.65793918472525</v>
      </c>
      <c r="F15" s="21">
        <v>327338.7</v>
      </c>
      <c r="G15" s="21">
        <f t="shared" si="1"/>
        <v>90.314606970977763</v>
      </c>
      <c r="H15" s="21">
        <v>149057.29999999999</v>
      </c>
      <c r="I15" s="21">
        <f t="shared" si="1"/>
        <v>45.536106790917167</v>
      </c>
      <c r="J15" s="21">
        <v>149057.29999999999</v>
      </c>
      <c r="K15" s="21">
        <f t="shared" si="1"/>
        <v>100</v>
      </c>
    </row>
    <row r="16" spans="1:11" ht="31.5" x14ac:dyDescent="0.25">
      <c r="A16" s="12" t="s">
        <v>139</v>
      </c>
      <c r="B16" s="13" t="s">
        <v>140</v>
      </c>
      <c r="C16" s="21">
        <v>4520.1000000000004</v>
      </c>
      <c r="D16" s="21">
        <v>0</v>
      </c>
      <c r="E16" s="21">
        <f t="shared" si="0"/>
        <v>0</v>
      </c>
      <c r="F16" s="21">
        <v>0</v>
      </c>
      <c r="G16" s="21"/>
      <c r="H16" s="21">
        <v>0</v>
      </c>
      <c r="I16" s="21"/>
      <c r="J16" s="21">
        <v>0</v>
      </c>
      <c r="K16" s="21"/>
    </row>
    <row r="17" spans="1:11" x14ac:dyDescent="0.25">
      <c r="A17" s="12" t="s">
        <v>18</v>
      </c>
      <c r="B17" s="13" t="s">
        <v>19</v>
      </c>
      <c r="C17" s="21">
        <v>0</v>
      </c>
      <c r="D17" s="21">
        <f>1560041.4-1560041.4</f>
        <v>0</v>
      </c>
      <c r="E17" s="21"/>
      <c r="F17" s="21">
        <f>1600000-371999.8</f>
        <v>1228000.2</v>
      </c>
      <c r="G17" s="21"/>
      <c r="H17" s="21">
        <f>400000-82652.1</f>
        <v>317347.90000000002</v>
      </c>
      <c r="I17" s="21"/>
      <c r="J17" s="21">
        <v>400000</v>
      </c>
      <c r="K17" s="21"/>
    </row>
    <row r="18" spans="1:11" ht="47.25" x14ac:dyDescent="0.25">
      <c r="A18" s="12" t="s">
        <v>20</v>
      </c>
      <c r="B18" s="13" t="s">
        <v>21</v>
      </c>
      <c r="C18" s="21">
        <v>12467.8</v>
      </c>
      <c r="D18" s="21">
        <v>16549.099999999999</v>
      </c>
      <c r="E18" s="21">
        <f t="shared" si="0"/>
        <v>132.7347246507002</v>
      </c>
      <c r="F18" s="21">
        <v>16549.099999999999</v>
      </c>
      <c r="G18" s="21">
        <f t="shared" si="1"/>
        <v>100</v>
      </c>
      <c r="H18" s="21">
        <v>16549.099999999999</v>
      </c>
      <c r="I18" s="21">
        <f t="shared" si="1"/>
        <v>100</v>
      </c>
      <c r="J18" s="21">
        <v>16549.099999999999</v>
      </c>
      <c r="K18" s="21">
        <f t="shared" si="1"/>
        <v>100</v>
      </c>
    </row>
    <row r="19" spans="1:11" ht="31.5" x14ac:dyDescent="0.25">
      <c r="A19" s="12" t="s">
        <v>138</v>
      </c>
      <c r="B19" s="13" t="s">
        <v>22</v>
      </c>
      <c r="C19" s="21">
        <v>4215952.2</v>
      </c>
      <c r="D19" s="21">
        <f>12014803.9-7221409+2474</f>
        <v>4795868.9000000004</v>
      </c>
      <c r="E19" s="21">
        <f t="shared" si="0"/>
        <v>113.75529589733016</v>
      </c>
      <c r="F19" s="21">
        <v>23792788.300000001</v>
      </c>
      <c r="G19" s="21">
        <f t="shared" si="1"/>
        <v>496.11006464334332</v>
      </c>
      <c r="H19" s="21">
        <v>24901562.699999999</v>
      </c>
      <c r="I19" s="21">
        <f t="shared" si="1"/>
        <v>104.66012804392497</v>
      </c>
      <c r="J19" s="21">
        <v>24950899.800000001</v>
      </c>
      <c r="K19" s="21">
        <f t="shared" si="1"/>
        <v>100.19812852949987</v>
      </c>
    </row>
    <row r="20" spans="1:11" x14ac:dyDescent="0.25">
      <c r="A20" s="10" t="s">
        <v>23</v>
      </c>
      <c r="B20" s="11" t="s">
        <v>24</v>
      </c>
      <c r="C20" s="26">
        <f>C21</f>
        <v>146815.1</v>
      </c>
      <c r="D20" s="26">
        <f>D21</f>
        <v>592860</v>
      </c>
      <c r="E20" s="25">
        <f t="shared" si="0"/>
        <v>403.81404909985417</v>
      </c>
      <c r="F20" s="25">
        <f t="shared" ref="F20:J20" si="2">F21</f>
        <v>103152.8</v>
      </c>
      <c r="G20" s="25">
        <f t="shared" si="1"/>
        <v>17.3991836183922</v>
      </c>
      <c r="H20" s="25">
        <f t="shared" si="2"/>
        <v>112465.3</v>
      </c>
      <c r="I20" s="25">
        <f t="shared" si="1"/>
        <v>109.0278693355876</v>
      </c>
      <c r="J20" s="25">
        <f t="shared" si="2"/>
        <v>0</v>
      </c>
      <c r="K20" s="25">
        <f t="shared" si="1"/>
        <v>0</v>
      </c>
    </row>
    <row r="21" spans="1:11" ht="31.5" x14ac:dyDescent="0.25">
      <c r="A21" s="12" t="s">
        <v>25</v>
      </c>
      <c r="B21" s="13" t="s">
        <v>26</v>
      </c>
      <c r="C21" s="21">
        <v>146815.1</v>
      </c>
      <c r="D21" s="21">
        <v>592860</v>
      </c>
      <c r="E21" s="21">
        <f t="shared" si="0"/>
        <v>403.81404909985417</v>
      </c>
      <c r="F21" s="21">
        <v>103152.8</v>
      </c>
      <c r="G21" s="21">
        <f t="shared" si="1"/>
        <v>17.3991836183922</v>
      </c>
      <c r="H21" s="21">
        <v>112465.3</v>
      </c>
      <c r="I21" s="21">
        <f t="shared" si="1"/>
        <v>109.0278693355876</v>
      </c>
      <c r="J21" s="21">
        <v>0</v>
      </c>
      <c r="K21" s="21">
        <f t="shared" si="1"/>
        <v>0</v>
      </c>
    </row>
    <row r="22" spans="1:11" ht="63" x14ac:dyDescent="0.25">
      <c r="A22" s="10" t="s">
        <v>27</v>
      </c>
      <c r="B22" s="11" t="s">
        <v>28</v>
      </c>
      <c r="C22" s="25">
        <f>SUM(C23:C25)</f>
        <v>3654564.6999999997</v>
      </c>
      <c r="D22" s="25">
        <f>SUM(D23:D25)</f>
        <v>4803783.3000000007</v>
      </c>
      <c r="E22" s="25">
        <f t="shared" si="0"/>
        <v>131.44611449894433</v>
      </c>
      <c r="F22" s="25">
        <f>SUM(F23:F25)</f>
        <v>5570792.2000000002</v>
      </c>
      <c r="G22" s="25">
        <f t="shared" si="1"/>
        <v>115.96676727695021</v>
      </c>
      <c r="H22" s="25">
        <f>SUM(H23:H25)</f>
        <v>4835184.2</v>
      </c>
      <c r="I22" s="25">
        <f t="shared" si="1"/>
        <v>86.795271236288443</v>
      </c>
      <c r="J22" s="25">
        <f>SUM(J23:J25)</f>
        <v>4835184.2</v>
      </c>
      <c r="K22" s="25">
        <f t="shared" si="1"/>
        <v>100</v>
      </c>
    </row>
    <row r="23" spans="1:11" x14ac:dyDescent="0.25">
      <c r="A23" s="12" t="s">
        <v>29</v>
      </c>
      <c r="B23" s="13" t="s">
        <v>30</v>
      </c>
      <c r="C23" s="21">
        <v>840747.2</v>
      </c>
      <c r="D23" s="21">
        <v>1625063.2000000002</v>
      </c>
      <c r="E23" s="21">
        <f t="shared" si="0"/>
        <v>193.28797051004159</v>
      </c>
      <c r="F23" s="21">
        <v>1850735.1</v>
      </c>
      <c r="G23" s="21">
        <f t="shared" si="1"/>
        <v>113.88696144248421</v>
      </c>
      <c r="H23" s="21">
        <f>1546613.1+34522.9</f>
        <v>1581136</v>
      </c>
      <c r="I23" s="21">
        <f t="shared" si="1"/>
        <v>85.432863946871691</v>
      </c>
      <c r="J23" s="21">
        <f>1546613.1+34522.9</f>
        <v>1581136</v>
      </c>
      <c r="K23" s="21">
        <f t="shared" si="1"/>
        <v>100</v>
      </c>
    </row>
    <row r="24" spans="1:11" ht="63" x14ac:dyDescent="0.25">
      <c r="A24" s="12" t="s">
        <v>31</v>
      </c>
      <c r="B24" s="13" t="s">
        <v>32</v>
      </c>
      <c r="C24" s="21">
        <v>2205287.1</v>
      </c>
      <c r="D24" s="21">
        <v>2518329.1</v>
      </c>
      <c r="E24" s="21">
        <f t="shared" si="0"/>
        <v>114.1950678440009</v>
      </c>
      <c r="F24" s="21">
        <v>2797671.1</v>
      </c>
      <c r="G24" s="21">
        <f t="shared" si="1"/>
        <v>111.09235484750583</v>
      </c>
      <c r="H24" s="21">
        <v>2735044</v>
      </c>
      <c r="I24" s="21">
        <f t="shared" si="1"/>
        <v>97.761455948127704</v>
      </c>
      <c r="J24" s="21">
        <v>2735044</v>
      </c>
      <c r="K24" s="21">
        <f t="shared" si="1"/>
        <v>100</v>
      </c>
    </row>
    <row r="25" spans="1:11" ht="47.25" x14ac:dyDescent="0.25">
      <c r="A25" s="12" t="s">
        <v>33</v>
      </c>
      <c r="B25" s="13" t="s">
        <v>34</v>
      </c>
      <c r="C25" s="21">
        <v>608530.4</v>
      </c>
      <c r="D25" s="21">
        <v>660391</v>
      </c>
      <c r="E25" s="21">
        <f t="shared" si="0"/>
        <v>108.52226938867804</v>
      </c>
      <c r="F25" s="21">
        <f>892475.6+29910.4</f>
        <v>922386</v>
      </c>
      <c r="G25" s="21">
        <f t="shared" si="1"/>
        <v>139.67270904661027</v>
      </c>
      <c r="H25" s="21">
        <f>553527.1-34522.9</f>
        <v>519004.19999999995</v>
      </c>
      <c r="I25" s="21">
        <f t="shared" si="1"/>
        <v>56.267571277100906</v>
      </c>
      <c r="J25" s="21">
        <f>553527.1-34522.9</f>
        <v>519004.19999999995</v>
      </c>
      <c r="K25" s="21">
        <f t="shared" si="1"/>
        <v>100</v>
      </c>
    </row>
    <row r="26" spans="1:11" ht="15.75" customHeight="1" x14ac:dyDescent="0.25">
      <c r="A26" s="10" t="s">
        <v>35</v>
      </c>
      <c r="B26" s="11" t="s">
        <v>36</v>
      </c>
      <c r="C26" s="25">
        <f>SUM(C27:C37)</f>
        <v>43776219.799999997</v>
      </c>
      <c r="D26" s="25">
        <f>SUM(D27:D37)</f>
        <v>55541411.800000004</v>
      </c>
      <c r="E26" s="25">
        <f t="shared" si="0"/>
        <v>126.87576052421048</v>
      </c>
      <c r="F26" s="25">
        <f t="shared" ref="F26:J26" si="3">SUM(F27:F37)</f>
        <v>50502029.600000001</v>
      </c>
      <c r="G26" s="25">
        <f t="shared" si="1"/>
        <v>90.926802116326471</v>
      </c>
      <c r="H26" s="25">
        <f t="shared" si="3"/>
        <v>49937715.700000003</v>
      </c>
      <c r="I26" s="25">
        <f t="shared" si="1"/>
        <v>98.882591641425833</v>
      </c>
      <c r="J26" s="25">
        <f t="shared" si="3"/>
        <v>41858234.399999999</v>
      </c>
      <c r="K26" s="25">
        <f t="shared" si="1"/>
        <v>83.820883300835476</v>
      </c>
    </row>
    <row r="27" spans="1:11" x14ac:dyDescent="0.25">
      <c r="A27" s="12" t="s">
        <v>37</v>
      </c>
      <c r="B27" s="13" t="s">
        <v>38</v>
      </c>
      <c r="C27" s="21">
        <v>519796.6</v>
      </c>
      <c r="D27" s="21">
        <v>613478.9</v>
      </c>
      <c r="E27" s="21">
        <f t="shared" si="0"/>
        <v>118.02287664059365</v>
      </c>
      <c r="F27" s="21">
        <f>873581+3480</f>
        <v>877061</v>
      </c>
      <c r="G27" s="21">
        <f t="shared" si="1"/>
        <v>142.96514517451212</v>
      </c>
      <c r="H27" s="21">
        <f>643031.8+3480</f>
        <v>646511.80000000005</v>
      </c>
      <c r="I27" s="21">
        <f t="shared" si="1"/>
        <v>73.713436123599166</v>
      </c>
      <c r="J27" s="21">
        <v>643031.80000000005</v>
      </c>
      <c r="K27" s="21">
        <f t="shared" si="1"/>
        <v>99.461726761986398</v>
      </c>
    </row>
    <row r="28" spans="1:11" x14ac:dyDescent="0.25">
      <c r="A28" s="12" t="s">
        <v>148</v>
      </c>
      <c r="B28" s="13" t="s">
        <v>147</v>
      </c>
      <c r="C28" s="21">
        <v>0</v>
      </c>
      <c r="D28" s="21">
        <v>6455408.2999999998</v>
      </c>
      <c r="E28" s="21"/>
      <c r="F28" s="21">
        <v>6276409.2999999998</v>
      </c>
      <c r="G28" s="21">
        <f t="shared" si="1"/>
        <v>97.227146732143964</v>
      </c>
      <c r="H28" s="21">
        <v>6269282.4000000004</v>
      </c>
      <c r="I28" s="21">
        <f t="shared" si="1"/>
        <v>99.886449406669513</v>
      </c>
      <c r="J28" s="21">
        <v>6340932.2000000002</v>
      </c>
      <c r="K28" s="21">
        <f t="shared" si="1"/>
        <v>101.14287083319138</v>
      </c>
    </row>
    <row r="29" spans="1:11" ht="31.5" x14ac:dyDescent="0.25">
      <c r="A29" s="12" t="s">
        <v>39</v>
      </c>
      <c r="B29" s="13" t="s">
        <v>40</v>
      </c>
      <c r="C29" s="21">
        <v>5145.6000000000004</v>
      </c>
      <c r="D29" s="21">
        <v>5382.3</v>
      </c>
      <c r="E29" s="21">
        <f t="shared" si="0"/>
        <v>104.60004664179104</v>
      </c>
      <c r="F29" s="21">
        <v>5382.3</v>
      </c>
      <c r="G29" s="21">
        <f t="shared" si="1"/>
        <v>100</v>
      </c>
      <c r="H29" s="21">
        <v>5382.3</v>
      </c>
      <c r="I29" s="21">
        <f t="shared" si="1"/>
        <v>100</v>
      </c>
      <c r="J29" s="21">
        <v>5382.3</v>
      </c>
      <c r="K29" s="21">
        <f t="shared" si="1"/>
        <v>100</v>
      </c>
    </row>
    <row r="30" spans="1:11" x14ac:dyDescent="0.25">
      <c r="A30" s="12" t="s">
        <v>41</v>
      </c>
      <c r="B30" s="13" t="s">
        <v>42</v>
      </c>
      <c r="C30" s="21">
        <v>6377986.0999999996</v>
      </c>
      <c r="D30" s="21">
        <f>6712964.1-6600.2</f>
        <v>6706363.8999999994</v>
      </c>
      <c r="E30" s="21">
        <f t="shared" si="0"/>
        <v>105.1486126631728</v>
      </c>
      <c r="F30" s="21">
        <v>6606670.2999999998</v>
      </c>
      <c r="G30" s="21">
        <f t="shared" si="1"/>
        <v>98.513447801423368</v>
      </c>
      <c r="H30" s="21">
        <v>6453006.0999999996</v>
      </c>
      <c r="I30" s="21">
        <f t="shared" si="1"/>
        <v>97.674105214543545</v>
      </c>
      <c r="J30" s="21">
        <v>5529988.5999999996</v>
      </c>
      <c r="K30" s="21">
        <f t="shared" si="1"/>
        <v>85.696317565855082</v>
      </c>
    </row>
    <row r="31" spans="1:11" x14ac:dyDescent="0.25">
      <c r="A31" s="12" t="s">
        <v>43</v>
      </c>
      <c r="B31" s="13" t="s">
        <v>44</v>
      </c>
      <c r="C31" s="21">
        <v>86473.3</v>
      </c>
      <c r="D31" s="21">
        <v>114953.4</v>
      </c>
      <c r="E31" s="21">
        <f t="shared" si="0"/>
        <v>132.93513720420057</v>
      </c>
      <c r="F31" s="21">
        <v>102926.9</v>
      </c>
      <c r="G31" s="21">
        <f t="shared" si="1"/>
        <v>89.537934502154783</v>
      </c>
      <c r="H31" s="21">
        <v>102225.9</v>
      </c>
      <c r="I31" s="21">
        <f t="shared" si="1"/>
        <v>99.318934117320154</v>
      </c>
      <c r="J31" s="21">
        <v>87532.3</v>
      </c>
      <c r="K31" s="21">
        <f t="shared" si="1"/>
        <v>85.626343226129592</v>
      </c>
    </row>
    <row r="32" spans="1:11" x14ac:dyDescent="0.25">
      <c r="A32" s="12" t="s">
        <v>45</v>
      </c>
      <c r="B32" s="13" t="s">
        <v>46</v>
      </c>
      <c r="C32" s="21">
        <v>1725559.6</v>
      </c>
      <c r="D32" s="21">
        <v>1920764.8</v>
      </c>
      <c r="E32" s="21">
        <f t="shared" si="0"/>
        <v>111.3125736138004</v>
      </c>
      <c r="F32" s="21">
        <v>2073276.9</v>
      </c>
      <c r="G32" s="21">
        <f t="shared" si="1"/>
        <v>107.94017570501082</v>
      </c>
      <c r="H32" s="21">
        <v>2074357</v>
      </c>
      <c r="I32" s="21">
        <f t="shared" si="1"/>
        <v>100.05209627329567</v>
      </c>
      <c r="J32" s="21">
        <v>1524024.4</v>
      </c>
      <c r="K32" s="21">
        <f t="shared" si="1"/>
        <v>73.469725799368192</v>
      </c>
    </row>
    <row r="33" spans="1:11" x14ac:dyDescent="0.25">
      <c r="A33" s="12" t="s">
        <v>47</v>
      </c>
      <c r="B33" s="13" t="s">
        <v>48</v>
      </c>
      <c r="C33" s="21">
        <v>1364713.3</v>
      </c>
      <c r="D33" s="21">
        <v>1754013.4</v>
      </c>
      <c r="E33" s="21">
        <f t="shared" si="0"/>
        <v>128.52614538159773</v>
      </c>
      <c r="F33" s="21">
        <f>1057045.7-60000</f>
        <v>997045.7</v>
      </c>
      <c r="G33" s="21">
        <f t="shared" si="1"/>
        <v>56.843676336794232</v>
      </c>
      <c r="H33" s="21">
        <f>1226570.4-60000</f>
        <v>1166570.3999999999</v>
      </c>
      <c r="I33" s="21">
        <f t="shared" si="1"/>
        <v>117.00270107980005</v>
      </c>
      <c r="J33" s="21">
        <f>1874575.2-60000</f>
        <v>1814575.2</v>
      </c>
      <c r="K33" s="21">
        <f t="shared" si="1"/>
        <v>155.54785206276449</v>
      </c>
    </row>
    <row r="34" spans="1:11" ht="31.5" x14ac:dyDescent="0.25">
      <c r="A34" s="12" t="s">
        <v>49</v>
      </c>
      <c r="B34" s="13" t="s">
        <v>50</v>
      </c>
      <c r="C34" s="21">
        <v>20720970.5</v>
      </c>
      <c r="D34" s="21">
        <v>21483621.5</v>
      </c>
      <c r="E34" s="21">
        <f t="shared" si="0"/>
        <v>103.68057567573874</v>
      </c>
      <c r="F34" s="21">
        <v>26422775.800000001</v>
      </c>
      <c r="G34" s="21">
        <f t="shared" si="1"/>
        <v>122.99032451302496</v>
      </c>
      <c r="H34" s="21">
        <v>26662193.800000001</v>
      </c>
      <c r="I34" s="21">
        <f t="shared" si="1"/>
        <v>100.90610464930789</v>
      </c>
      <c r="J34" s="21">
        <v>19886020.5</v>
      </c>
      <c r="K34" s="21">
        <f t="shared" si="1"/>
        <v>74.585087218141808</v>
      </c>
    </row>
    <row r="35" spans="1:11" x14ac:dyDescent="0.25">
      <c r="A35" s="12" t="s">
        <v>51</v>
      </c>
      <c r="B35" s="13" t="s">
        <v>52</v>
      </c>
      <c r="C35" s="21">
        <v>1939271</v>
      </c>
      <c r="D35" s="21">
        <v>2925855.6</v>
      </c>
      <c r="E35" s="21">
        <f t="shared" si="0"/>
        <v>150.87399337173608</v>
      </c>
      <c r="F35" s="21">
        <v>4098198.5</v>
      </c>
      <c r="G35" s="21">
        <f t="shared" si="1"/>
        <v>140.06837863085246</v>
      </c>
      <c r="H35" s="21">
        <v>3739986.3</v>
      </c>
      <c r="I35" s="21">
        <f t="shared" si="1"/>
        <v>91.259276484533387</v>
      </c>
      <c r="J35" s="21">
        <v>3739986.2</v>
      </c>
      <c r="K35" s="21">
        <f t="shared" si="1"/>
        <v>99.999997326193423</v>
      </c>
    </row>
    <row r="36" spans="1:11" ht="31.5" customHeight="1" x14ac:dyDescent="0.25">
      <c r="A36" s="12" t="s">
        <v>53</v>
      </c>
      <c r="B36" s="13" t="s">
        <v>54</v>
      </c>
      <c r="C36" s="21">
        <v>683.5</v>
      </c>
      <c r="D36" s="21">
        <v>10050</v>
      </c>
      <c r="E36" s="21">
        <f t="shared" si="0"/>
        <v>1470.3730797366497</v>
      </c>
      <c r="F36" s="21">
        <v>19050</v>
      </c>
      <c r="G36" s="21">
        <f t="shared" si="1"/>
        <v>189.55223880597015</v>
      </c>
      <c r="H36" s="21">
        <v>19050</v>
      </c>
      <c r="I36" s="21">
        <f t="shared" si="1"/>
        <v>100</v>
      </c>
      <c r="J36" s="21">
        <v>19050</v>
      </c>
      <c r="K36" s="21">
        <f t="shared" si="1"/>
        <v>100</v>
      </c>
    </row>
    <row r="37" spans="1:11" ht="31.5" x14ac:dyDescent="0.25">
      <c r="A37" s="12" t="s">
        <v>55</v>
      </c>
      <c r="B37" s="13" t="s">
        <v>56</v>
      </c>
      <c r="C37" s="21">
        <v>11035620.300000001</v>
      </c>
      <c r="D37" s="21">
        <f>8544345.3+5007174.4</f>
        <v>13551519.700000001</v>
      </c>
      <c r="E37" s="21">
        <f t="shared" si="0"/>
        <v>122.79798807503373</v>
      </c>
      <c r="F37" s="21">
        <v>3023232.9</v>
      </c>
      <c r="G37" s="21">
        <f t="shared" si="1"/>
        <v>22.309179833166606</v>
      </c>
      <c r="H37" s="21">
        <v>2799149.7</v>
      </c>
      <c r="I37" s="21">
        <f t="shared" si="1"/>
        <v>92.587961053215594</v>
      </c>
      <c r="J37" s="21">
        <v>2267710.9</v>
      </c>
      <c r="K37" s="21">
        <f t="shared" si="1"/>
        <v>81.014277299995769</v>
      </c>
    </row>
    <row r="38" spans="1:11" ht="31.5" customHeight="1" x14ac:dyDescent="0.25">
      <c r="A38" s="10" t="s">
        <v>57</v>
      </c>
      <c r="B38" s="11" t="s">
        <v>58</v>
      </c>
      <c r="C38" s="25">
        <f>SUM(C39:C42)</f>
        <v>22848990.5</v>
      </c>
      <c r="D38" s="25">
        <f>SUM(D39:D42)</f>
        <v>24357743.900000002</v>
      </c>
      <c r="E38" s="25">
        <f t="shared" si="0"/>
        <v>106.60315124206473</v>
      </c>
      <c r="F38" s="25">
        <f>SUM(F39:F42)</f>
        <v>13684424.799999999</v>
      </c>
      <c r="G38" s="25">
        <f t="shared" si="1"/>
        <v>56.181002871944955</v>
      </c>
      <c r="H38" s="25">
        <f>SUM(H39:H42)</f>
        <v>9322433.2000000011</v>
      </c>
      <c r="I38" s="25">
        <f t="shared" si="1"/>
        <v>68.124406661213868</v>
      </c>
      <c r="J38" s="25">
        <f>SUM(J39:J42)</f>
        <v>13249461.100000001</v>
      </c>
      <c r="K38" s="25">
        <f t="shared" si="1"/>
        <v>142.12449492263457</v>
      </c>
    </row>
    <row r="39" spans="1:11" x14ac:dyDescent="0.25">
      <c r="A39" s="12" t="s">
        <v>59</v>
      </c>
      <c r="B39" s="13" t="s">
        <v>60</v>
      </c>
      <c r="C39" s="21">
        <v>4422469.5</v>
      </c>
      <c r="D39" s="21">
        <v>12124106.100000001</v>
      </c>
      <c r="E39" s="21">
        <f t="shared" si="0"/>
        <v>274.14787371625744</v>
      </c>
      <c r="F39" s="21">
        <v>2911460.5</v>
      </c>
      <c r="G39" s="21">
        <f t="shared" si="1"/>
        <v>24.013815748445154</v>
      </c>
      <c r="H39" s="21">
        <v>977523.5</v>
      </c>
      <c r="I39" s="21">
        <f t="shared" si="1"/>
        <v>33.575021883346864</v>
      </c>
      <c r="J39" s="21">
        <v>6470568.7999999998</v>
      </c>
      <c r="K39" s="21">
        <f t="shared" si="1"/>
        <v>661.93485885505561</v>
      </c>
    </row>
    <row r="40" spans="1:11" x14ac:dyDescent="0.25">
      <c r="A40" s="12" t="s">
        <v>61</v>
      </c>
      <c r="B40" s="13" t="s">
        <v>62</v>
      </c>
      <c r="C40" s="21">
        <v>15895878.5</v>
      </c>
      <c r="D40" s="21">
        <f>9342956+181372.8+173386.3</f>
        <v>9697715.1000000015</v>
      </c>
      <c r="E40" s="21">
        <f t="shared" si="0"/>
        <v>61.007732916428623</v>
      </c>
      <c r="F40" s="21">
        <f>9694168.7-2025.8</f>
        <v>9692142.8999999985</v>
      </c>
      <c r="G40" s="21">
        <f t="shared" si="1"/>
        <v>99.942541104347328</v>
      </c>
      <c r="H40" s="21">
        <v>7695046.5</v>
      </c>
      <c r="I40" s="21">
        <f t="shared" si="1"/>
        <v>79.394686803472553</v>
      </c>
      <c r="J40" s="21">
        <v>6156943.2000000002</v>
      </c>
      <c r="K40" s="21">
        <f t="shared" si="1"/>
        <v>80.01177380799453</v>
      </c>
    </row>
    <row r="41" spans="1:11" x14ac:dyDescent="0.25">
      <c r="A41" s="12" t="s">
        <v>63</v>
      </c>
      <c r="B41" s="13" t="s">
        <v>64</v>
      </c>
      <c r="C41" s="21">
        <v>2068081</v>
      </c>
      <c r="D41" s="21">
        <v>1975486.5</v>
      </c>
      <c r="E41" s="21">
        <f t="shared" si="0"/>
        <v>95.522685039899301</v>
      </c>
      <c r="F41" s="21">
        <f>478494.8+2025.8</f>
        <v>480520.6</v>
      </c>
      <c r="G41" s="21">
        <f t="shared" si="1"/>
        <v>24.324165211961709</v>
      </c>
      <c r="H41" s="21">
        <v>57162.400000000001</v>
      </c>
      <c r="I41" s="21">
        <f t="shared" si="1"/>
        <v>11.89593120461433</v>
      </c>
      <c r="J41" s="21">
        <v>29248.3</v>
      </c>
      <c r="K41" s="21">
        <f t="shared" si="1"/>
        <v>51.16702587715001</v>
      </c>
    </row>
    <row r="42" spans="1:11" ht="31.5" x14ac:dyDescent="0.25">
      <c r="A42" s="12" t="s">
        <v>65</v>
      </c>
      <c r="B42" s="13" t="s">
        <v>66</v>
      </c>
      <c r="C42" s="21">
        <v>462561.5</v>
      </c>
      <c r="D42" s="21">
        <v>560436.20000000007</v>
      </c>
      <c r="E42" s="21">
        <f t="shared" si="0"/>
        <v>121.15928368443983</v>
      </c>
      <c r="F42" s="21">
        <v>600300.80000000005</v>
      </c>
      <c r="G42" s="21">
        <f t="shared" si="1"/>
        <v>107.11313794505067</v>
      </c>
      <c r="H42" s="21">
        <v>592700.80000000005</v>
      </c>
      <c r="I42" s="21">
        <f t="shared" si="1"/>
        <v>98.733968037357272</v>
      </c>
      <c r="J42" s="21">
        <v>592700.80000000005</v>
      </c>
      <c r="K42" s="21">
        <f t="shared" si="1"/>
        <v>100</v>
      </c>
    </row>
    <row r="43" spans="1:11" ht="31.5" x14ac:dyDescent="0.25">
      <c r="A43" s="10" t="s">
        <v>67</v>
      </c>
      <c r="B43" s="11" t="s">
        <v>68</v>
      </c>
      <c r="C43" s="25">
        <f>SUM(C44:C45)</f>
        <v>598390.6</v>
      </c>
      <c r="D43" s="25">
        <f>SUM(D44:D45)</f>
        <v>783469.70000000007</v>
      </c>
      <c r="E43" s="25">
        <f t="shared" si="0"/>
        <v>130.92947984142799</v>
      </c>
      <c r="F43" s="25">
        <f>SUM(F44:F45)</f>
        <v>841344.7</v>
      </c>
      <c r="G43" s="25">
        <f t="shared" si="1"/>
        <v>107.38701190358732</v>
      </c>
      <c r="H43" s="25">
        <f>SUM(H44:H45)</f>
        <v>670566</v>
      </c>
      <c r="I43" s="25">
        <f t="shared" si="1"/>
        <v>79.701696581674554</v>
      </c>
      <c r="J43" s="25">
        <f>SUM(J44:J45)</f>
        <v>587010.5</v>
      </c>
      <c r="K43" s="25">
        <f t="shared" si="1"/>
        <v>87.539556136159604</v>
      </c>
    </row>
    <row r="44" spans="1:11" ht="47.25" x14ac:dyDescent="0.25">
      <c r="A44" s="12" t="s">
        <v>69</v>
      </c>
      <c r="B44" s="13" t="s">
        <v>70</v>
      </c>
      <c r="C44" s="21">
        <v>151891.4</v>
      </c>
      <c r="D44" s="21">
        <v>195194.5</v>
      </c>
      <c r="E44" s="21">
        <f t="shared" si="0"/>
        <v>128.50925068832072</v>
      </c>
      <c r="F44" s="21">
        <v>198866.1</v>
      </c>
      <c r="G44" s="21">
        <f t="shared" si="1"/>
        <v>101.88099562231518</v>
      </c>
      <c r="H44" s="21">
        <v>200545.6</v>
      </c>
      <c r="I44" s="21">
        <f t="shared" si="1"/>
        <v>100.8445381088079</v>
      </c>
      <c r="J44" s="21">
        <v>192648.6</v>
      </c>
      <c r="K44" s="21">
        <f t="shared" si="1"/>
        <v>96.062242203269477</v>
      </c>
    </row>
    <row r="45" spans="1:11" ht="31.5" x14ac:dyDescent="0.25">
      <c r="A45" s="12" t="s">
        <v>71</v>
      </c>
      <c r="B45" s="13" t="s">
        <v>72</v>
      </c>
      <c r="C45" s="21">
        <v>446499.2</v>
      </c>
      <c r="D45" s="21">
        <f>542289.8+45985.4</f>
        <v>588275.20000000007</v>
      </c>
      <c r="E45" s="21">
        <f t="shared" si="0"/>
        <v>131.75280045294596</v>
      </c>
      <c r="F45" s="21">
        <v>642478.6</v>
      </c>
      <c r="G45" s="21">
        <f t="shared" si="1"/>
        <v>109.21395292543352</v>
      </c>
      <c r="H45" s="21">
        <v>470020.4</v>
      </c>
      <c r="I45" s="21">
        <f t="shared" si="1"/>
        <v>73.157362751070622</v>
      </c>
      <c r="J45" s="21">
        <v>394361.9</v>
      </c>
      <c r="K45" s="21">
        <f t="shared" si="1"/>
        <v>83.903145480494032</v>
      </c>
    </row>
    <row r="46" spans="1:11" x14ac:dyDescent="0.25">
      <c r="A46" s="10" t="s">
        <v>73</v>
      </c>
      <c r="B46" s="11" t="s">
        <v>74</v>
      </c>
      <c r="C46" s="25">
        <f>SUM(C47:C54)</f>
        <v>44676044.199999996</v>
      </c>
      <c r="D46" s="25">
        <f>SUM(D47:D54)</f>
        <v>55103572.399999999</v>
      </c>
      <c r="E46" s="25">
        <f t="shared" si="0"/>
        <v>123.34031221143793</v>
      </c>
      <c r="F46" s="25">
        <f>SUM(F47:F54)</f>
        <v>55667006.800000012</v>
      </c>
      <c r="G46" s="25">
        <f t="shared" si="1"/>
        <v>101.02250067547347</v>
      </c>
      <c r="H46" s="25">
        <f t="shared" ref="H46" si="4">SUM(H47:H54)</f>
        <v>51542039.299999997</v>
      </c>
      <c r="I46" s="25">
        <f t="shared" si="1"/>
        <v>92.589924019410347</v>
      </c>
      <c r="J46" s="25">
        <f>SUM(J47:J54)</f>
        <v>48679515.300000004</v>
      </c>
      <c r="K46" s="25">
        <f t="shared" si="1"/>
        <v>94.446234493480745</v>
      </c>
    </row>
    <row r="47" spans="1:11" x14ac:dyDescent="0.25">
      <c r="A47" s="12" t="s">
        <v>75</v>
      </c>
      <c r="B47" s="13" t="s">
        <v>76</v>
      </c>
      <c r="C47" s="21">
        <v>14426551.1</v>
      </c>
      <c r="D47" s="21">
        <v>19147329.600000001</v>
      </c>
      <c r="E47" s="21">
        <f t="shared" si="0"/>
        <v>132.72284877568558</v>
      </c>
      <c r="F47" s="21">
        <v>18617267.600000001</v>
      </c>
      <c r="G47" s="21">
        <f t="shared" si="1"/>
        <v>97.231666184928471</v>
      </c>
      <c r="H47" s="21">
        <v>17458716.800000001</v>
      </c>
      <c r="I47" s="21">
        <f t="shared" si="1"/>
        <v>93.777009468349689</v>
      </c>
      <c r="J47" s="21">
        <v>17691719.399999999</v>
      </c>
      <c r="K47" s="21">
        <f t="shared" si="1"/>
        <v>101.33459178397348</v>
      </c>
    </row>
    <row r="48" spans="1:11" x14ac:dyDescent="0.25">
      <c r="A48" s="12" t="s">
        <v>77</v>
      </c>
      <c r="B48" s="13" t="s">
        <v>78</v>
      </c>
      <c r="C48" s="21">
        <v>23293257.699999999</v>
      </c>
      <c r="D48" s="21">
        <v>28331425.800000001</v>
      </c>
      <c r="E48" s="21">
        <f t="shared" si="0"/>
        <v>121.62929790623491</v>
      </c>
      <c r="F48" s="21">
        <f>28721702.7-36232.4</f>
        <v>28685470.300000001</v>
      </c>
      <c r="G48" s="21">
        <f t="shared" si="1"/>
        <v>101.24965295604713</v>
      </c>
      <c r="H48" s="21">
        <f>26427086.4-19079.4</f>
        <v>26408007</v>
      </c>
      <c r="I48" s="21">
        <f t="shared" si="1"/>
        <v>92.060568377712798</v>
      </c>
      <c r="J48" s="21">
        <v>23811967.199999999</v>
      </c>
      <c r="K48" s="21">
        <f t="shared" si="1"/>
        <v>90.169497455828449</v>
      </c>
    </row>
    <row r="49" spans="1:11" x14ac:dyDescent="0.25">
      <c r="A49" s="12" t="s">
        <v>79</v>
      </c>
      <c r="B49" s="13" t="s">
        <v>80</v>
      </c>
      <c r="C49" s="21">
        <v>863471</v>
      </c>
      <c r="D49" s="21">
        <v>438497.3</v>
      </c>
      <c r="E49" s="21">
        <f t="shared" si="0"/>
        <v>50.783095205281938</v>
      </c>
      <c r="F49" s="21">
        <v>625279.1</v>
      </c>
      <c r="G49" s="21">
        <f t="shared" si="1"/>
        <v>142.59588371467737</v>
      </c>
      <c r="H49" s="21">
        <v>398717.7</v>
      </c>
      <c r="I49" s="21">
        <f t="shared" si="1"/>
        <v>63.766356495843226</v>
      </c>
      <c r="J49" s="21">
        <v>393796.2</v>
      </c>
      <c r="K49" s="21">
        <f t="shared" si="1"/>
        <v>98.76566804032025</v>
      </c>
    </row>
    <row r="50" spans="1:11" ht="31.5" x14ac:dyDescent="0.25">
      <c r="A50" s="12" t="s">
        <v>81</v>
      </c>
      <c r="B50" s="13" t="s">
        <v>82</v>
      </c>
      <c r="C50" s="21">
        <v>3381896.9</v>
      </c>
      <c r="D50" s="21">
        <f>3853480.2+5435.7</f>
        <v>3858915.9000000004</v>
      </c>
      <c r="E50" s="21">
        <f t="shared" si="0"/>
        <v>114.10507221553681</v>
      </c>
      <c r="F50" s="21">
        <v>4024065.6</v>
      </c>
      <c r="G50" s="21">
        <f t="shared" si="1"/>
        <v>104.27969160976014</v>
      </c>
      <c r="H50" s="21">
        <v>3993176.8</v>
      </c>
      <c r="I50" s="21">
        <f t="shared" si="1"/>
        <v>99.232398199472684</v>
      </c>
      <c r="J50" s="21">
        <v>3658909</v>
      </c>
      <c r="K50" s="21">
        <f t="shared" si="1"/>
        <v>91.62902579219633</v>
      </c>
    </row>
    <row r="51" spans="1:11" ht="47.25" x14ac:dyDescent="0.25">
      <c r="A51" s="12" t="s">
        <v>83</v>
      </c>
      <c r="B51" s="13" t="s">
        <v>84</v>
      </c>
      <c r="C51" s="21">
        <v>388392.6</v>
      </c>
      <c r="D51" s="21">
        <v>435833.39999999997</v>
      </c>
      <c r="E51" s="21">
        <f t="shared" si="0"/>
        <v>112.21465084556195</v>
      </c>
      <c r="F51" s="21">
        <f>534992.5+16553</f>
        <v>551545.5</v>
      </c>
      <c r="G51" s="21">
        <f t="shared" si="1"/>
        <v>126.54961735378703</v>
      </c>
      <c r="H51" s="21">
        <f>456166.5-600</f>
        <v>455566.5</v>
      </c>
      <c r="I51" s="21">
        <f t="shared" si="1"/>
        <v>82.598171864333949</v>
      </c>
      <c r="J51" s="21">
        <v>443071</v>
      </c>
      <c r="K51" s="21">
        <f t="shared" si="1"/>
        <v>97.257151261122146</v>
      </c>
    </row>
    <row r="52" spans="1:11" ht="31.5" x14ac:dyDescent="0.25">
      <c r="A52" s="12" t="s">
        <v>85</v>
      </c>
      <c r="B52" s="13" t="s">
        <v>86</v>
      </c>
      <c r="C52" s="21">
        <v>936706.6</v>
      </c>
      <c r="D52" s="21">
        <f>1071188.9+10531</f>
        <v>1081719.8999999999</v>
      </c>
      <c r="E52" s="21">
        <f t="shared" si="0"/>
        <v>115.48118695864851</v>
      </c>
      <c r="F52" s="21">
        <v>1185961.3</v>
      </c>
      <c r="G52" s="21">
        <f t="shared" si="1"/>
        <v>109.63663514002103</v>
      </c>
      <c r="H52" s="21">
        <v>1135682.3</v>
      </c>
      <c r="I52" s="21">
        <f t="shared" si="1"/>
        <v>95.760485607751278</v>
      </c>
      <c r="J52" s="21">
        <v>1146784.6000000001</v>
      </c>
      <c r="K52" s="21">
        <f t="shared" si="1"/>
        <v>100.97758853862564</v>
      </c>
    </row>
    <row r="53" spans="1:11" ht="31.5" x14ac:dyDescent="0.25">
      <c r="A53" s="12" t="s">
        <v>87</v>
      </c>
      <c r="B53" s="13" t="s">
        <v>88</v>
      </c>
      <c r="C53" s="21">
        <v>377586.9</v>
      </c>
      <c r="D53" s="21">
        <v>759061.1</v>
      </c>
      <c r="E53" s="21">
        <f t="shared" si="0"/>
        <v>201.02951135222114</v>
      </c>
      <c r="F53" s="21">
        <v>909843.2</v>
      </c>
      <c r="G53" s="21">
        <f t="shared" si="1"/>
        <v>119.86429023961311</v>
      </c>
      <c r="H53" s="21">
        <v>615373.19999999995</v>
      </c>
      <c r="I53" s="21">
        <f t="shared" si="1"/>
        <v>67.635082616433252</v>
      </c>
      <c r="J53" s="21">
        <v>483913.2</v>
      </c>
      <c r="K53" s="21">
        <f t="shared" si="1"/>
        <v>78.63735372291157</v>
      </c>
    </row>
    <row r="54" spans="1:11" ht="31.5" x14ac:dyDescent="0.25">
      <c r="A54" s="12" t="s">
        <v>89</v>
      </c>
      <c r="B54" s="13" t="s">
        <v>90</v>
      </c>
      <c r="C54" s="21">
        <v>1008181.4</v>
      </c>
      <c r="D54" s="21">
        <v>1050789.3999999999</v>
      </c>
      <c r="E54" s="21">
        <f t="shared" si="0"/>
        <v>104.226223574448</v>
      </c>
      <c r="F54" s="21">
        <f>1047894.8+19679.4</f>
        <v>1067574.2</v>
      </c>
      <c r="G54" s="21">
        <f t="shared" si="1"/>
        <v>101.59735147689919</v>
      </c>
      <c r="H54" s="21">
        <f>1057119.6+19679.4</f>
        <v>1076799</v>
      </c>
      <c r="I54" s="21">
        <f t="shared" si="1"/>
        <v>100.86408982157869</v>
      </c>
      <c r="J54" s="21">
        <v>1049354.7</v>
      </c>
      <c r="K54" s="21">
        <f t="shared" si="1"/>
        <v>97.451307068450106</v>
      </c>
    </row>
    <row r="55" spans="1:11" ht="31.5" x14ac:dyDescent="0.25">
      <c r="A55" s="10" t="s">
        <v>91</v>
      </c>
      <c r="B55" s="11" t="s">
        <v>92</v>
      </c>
      <c r="C55" s="25">
        <f>SUM(C56:C58)</f>
        <v>4461763.8000000007</v>
      </c>
      <c r="D55" s="25">
        <f>SUM(D56:D58)</f>
        <v>5558215.9000000004</v>
      </c>
      <c r="E55" s="25">
        <f t="shared" si="0"/>
        <v>124.57440934009101</v>
      </c>
      <c r="F55" s="25">
        <f>SUM(F56:F58)</f>
        <v>5726399.7000000002</v>
      </c>
      <c r="G55" s="25">
        <f t="shared" si="1"/>
        <v>103.02585943090119</v>
      </c>
      <c r="H55" s="25">
        <f>SUM(H56:H58)</f>
        <v>5601297.8999999994</v>
      </c>
      <c r="I55" s="25">
        <f t="shared" si="1"/>
        <v>97.81534984363735</v>
      </c>
      <c r="J55" s="25">
        <f>SUM(J56:J58)</f>
        <v>4062802.3</v>
      </c>
      <c r="K55" s="25">
        <f t="shared" si="1"/>
        <v>72.533230200093442</v>
      </c>
    </row>
    <row r="56" spans="1:11" x14ac:dyDescent="0.25">
      <c r="A56" s="12" t="s">
        <v>93</v>
      </c>
      <c r="B56" s="13" t="s">
        <v>94</v>
      </c>
      <c r="C56" s="21">
        <v>4409509.9000000004</v>
      </c>
      <c r="D56" s="21">
        <f>5272391.9+16545.2+128060.8+12638</f>
        <v>5429635.9000000004</v>
      </c>
      <c r="E56" s="21">
        <f t="shared" si="0"/>
        <v>123.1346798881209</v>
      </c>
      <c r="F56" s="21">
        <v>5646115.9000000004</v>
      </c>
      <c r="G56" s="21">
        <f t="shared" si="1"/>
        <v>103.98700767393998</v>
      </c>
      <c r="H56" s="21">
        <v>5540919.2999999998</v>
      </c>
      <c r="I56" s="21">
        <f t="shared" si="1"/>
        <v>98.13683243732207</v>
      </c>
      <c r="J56" s="21">
        <v>3997713.3</v>
      </c>
      <c r="K56" s="21">
        <f t="shared" si="1"/>
        <v>72.148917599287174</v>
      </c>
    </row>
    <row r="57" spans="1:11" x14ac:dyDescent="0.25">
      <c r="A57" s="12" t="s">
        <v>95</v>
      </c>
      <c r="B57" s="13" t="s">
        <v>96</v>
      </c>
      <c r="C57" s="21">
        <v>20000</v>
      </c>
      <c r="D57" s="21">
        <v>14400</v>
      </c>
      <c r="E57" s="21">
        <f t="shared" si="0"/>
        <v>72</v>
      </c>
      <c r="F57" s="21">
        <v>14400</v>
      </c>
      <c r="G57" s="21">
        <f t="shared" si="1"/>
        <v>100</v>
      </c>
      <c r="H57" s="21">
        <v>14400</v>
      </c>
      <c r="I57" s="21">
        <f t="shared" si="1"/>
        <v>100</v>
      </c>
      <c r="J57" s="21">
        <v>14400</v>
      </c>
      <c r="K57" s="21">
        <f t="shared" si="1"/>
        <v>100</v>
      </c>
    </row>
    <row r="58" spans="1:11" ht="31.5" x14ac:dyDescent="0.25">
      <c r="A58" s="12" t="s">
        <v>97</v>
      </c>
      <c r="B58" s="13" t="s">
        <v>98</v>
      </c>
      <c r="C58" s="21">
        <v>32253.9</v>
      </c>
      <c r="D58" s="21">
        <v>114180</v>
      </c>
      <c r="E58" s="21">
        <f t="shared" si="0"/>
        <v>354.00370187791242</v>
      </c>
      <c r="F58" s="21">
        <v>65883.8</v>
      </c>
      <c r="G58" s="21">
        <f t="shared" si="1"/>
        <v>57.701699071641265</v>
      </c>
      <c r="H58" s="21">
        <v>45978.6</v>
      </c>
      <c r="I58" s="21">
        <f t="shared" si="1"/>
        <v>69.787413597879905</v>
      </c>
      <c r="J58" s="21">
        <v>50689</v>
      </c>
      <c r="K58" s="21">
        <f t="shared" si="1"/>
        <v>110.2447660433332</v>
      </c>
    </row>
    <row r="59" spans="1:11" x14ac:dyDescent="0.25">
      <c r="A59" s="10" t="s">
        <v>99</v>
      </c>
      <c r="B59" s="11" t="s">
        <v>100</v>
      </c>
      <c r="C59" s="25">
        <f>SUM(C60:C66)</f>
        <v>23413253.200000003</v>
      </c>
      <c r="D59" s="25">
        <f>SUM(D60:D66)</f>
        <v>25416282.299999997</v>
      </c>
      <c r="E59" s="25">
        <f t="shared" si="0"/>
        <v>108.55510801036394</v>
      </c>
      <c r="F59" s="25">
        <f>SUM(F60:F66)</f>
        <v>24946822.899999999</v>
      </c>
      <c r="G59" s="25">
        <f t="shared" si="1"/>
        <v>98.152918690236618</v>
      </c>
      <c r="H59" s="25">
        <f t="shared" ref="H59:J59" si="5">SUM(H60:H66)</f>
        <v>21712763</v>
      </c>
      <c r="I59" s="25">
        <f t="shared" si="1"/>
        <v>87.036185277124005</v>
      </c>
      <c r="J59" s="25">
        <f t="shared" si="5"/>
        <v>20115246.800000001</v>
      </c>
      <c r="K59" s="25">
        <f t="shared" si="1"/>
        <v>92.642501555421575</v>
      </c>
    </row>
    <row r="60" spans="1:11" ht="15.75" customHeight="1" x14ac:dyDescent="0.25">
      <c r="A60" s="12" t="s">
        <v>101</v>
      </c>
      <c r="B60" s="13" t="s">
        <v>102</v>
      </c>
      <c r="C60" s="21">
        <v>5472097.7000000002</v>
      </c>
      <c r="D60" s="21">
        <f>6467622.9+34287+37218.6</f>
        <v>6539128.5</v>
      </c>
      <c r="E60" s="21">
        <f t="shared" si="0"/>
        <v>119.49948371718581</v>
      </c>
      <c r="F60" s="21">
        <v>5443604</v>
      </c>
      <c r="G60" s="21">
        <f t="shared" si="1"/>
        <v>83.246628354221812</v>
      </c>
      <c r="H60" s="21">
        <v>5485084.7000000002</v>
      </c>
      <c r="I60" s="21">
        <f t="shared" si="1"/>
        <v>100.76200803732233</v>
      </c>
      <c r="J60" s="21">
        <v>5567868.7999999998</v>
      </c>
      <c r="K60" s="21">
        <f t="shared" si="1"/>
        <v>101.5092583711606</v>
      </c>
    </row>
    <row r="61" spans="1:11" x14ac:dyDescent="0.25">
      <c r="A61" s="12" t="s">
        <v>103</v>
      </c>
      <c r="B61" s="13" t="s">
        <v>104</v>
      </c>
      <c r="C61" s="21">
        <v>7425354.5</v>
      </c>
      <c r="D61" s="21">
        <f>8930869.1+7576.8</f>
        <v>8938445.9000000004</v>
      </c>
      <c r="E61" s="21">
        <f t="shared" si="0"/>
        <v>120.37736245454678</v>
      </c>
      <c r="F61" s="21">
        <f>9974425.7+24272.5</f>
        <v>9998698.1999999993</v>
      </c>
      <c r="G61" s="21">
        <f t="shared" si="1"/>
        <v>111.86170741381338</v>
      </c>
      <c r="H61" s="21">
        <v>6833830.5999999996</v>
      </c>
      <c r="I61" s="21">
        <f t="shared" si="1"/>
        <v>68.34720343894368</v>
      </c>
      <c r="J61" s="21">
        <v>5403726</v>
      </c>
      <c r="K61" s="21">
        <f t="shared" si="1"/>
        <v>79.073162861250907</v>
      </c>
    </row>
    <row r="62" spans="1:11" ht="31.5" x14ac:dyDescent="0.25">
      <c r="A62" s="12" t="s">
        <v>105</v>
      </c>
      <c r="B62" s="13" t="s">
        <v>106</v>
      </c>
      <c r="C62" s="21">
        <v>71465.3</v>
      </c>
      <c r="D62" s="21">
        <v>81062.8</v>
      </c>
      <c r="E62" s="21">
        <f t="shared" si="0"/>
        <v>113.4295945025068</v>
      </c>
      <c r="F62" s="21">
        <v>85801.600000000006</v>
      </c>
      <c r="G62" s="21">
        <f t="shared" si="1"/>
        <v>105.84583804161711</v>
      </c>
      <c r="H62" s="21">
        <v>85801.600000000006</v>
      </c>
      <c r="I62" s="21">
        <f t="shared" si="1"/>
        <v>100</v>
      </c>
      <c r="J62" s="21">
        <v>85801.600000000006</v>
      </c>
      <c r="K62" s="21">
        <f t="shared" si="1"/>
        <v>100</v>
      </c>
    </row>
    <row r="63" spans="1:11" x14ac:dyDescent="0.25">
      <c r="A63" s="12" t="s">
        <v>107</v>
      </c>
      <c r="B63" s="13" t="s">
        <v>108</v>
      </c>
      <c r="C63" s="21">
        <v>408595.3</v>
      </c>
      <c r="D63" s="21">
        <f>506064.1+1645.5</f>
        <v>507709.6</v>
      </c>
      <c r="E63" s="21">
        <f t="shared" si="0"/>
        <v>124.25732748271945</v>
      </c>
      <c r="F63" s="21">
        <v>486639.4</v>
      </c>
      <c r="G63" s="21">
        <f t="shared" si="1"/>
        <v>95.849950444112153</v>
      </c>
      <c r="H63" s="21">
        <v>496531.7</v>
      </c>
      <c r="I63" s="21">
        <f t="shared" si="1"/>
        <v>102.03277827483758</v>
      </c>
      <c r="J63" s="21">
        <v>304027.59999999998</v>
      </c>
      <c r="K63" s="21">
        <f t="shared" si="1"/>
        <v>61.23024975041875</v>
      </c>
    </row>
    <row r="64" spans="1:11" ht="15.75" customHeight="1" x14ac:dyDescent="0.25">
      <c r="A64" s="12" t="s">
        <v>109</v>
      </c>
      <c r="B64" s="13" t="s">
        <v>110</v>
      </c>
      <c r="C64" s="21">
        <v>93727.3</v>
      </c>
      <c r="D64" s="21">
        <f>109108.6+818.4</f>
        <v>109927</v>
      </c>
      <c r="E64" s="21">
        <f t="shared" si="0"/>
        <v>117.28386499984529</v>
      </c>
      <c r="F64" s="21">
        <v>149780.20000000001</v>
      </c>
      <c r="G64" s="21">
        <f t="shared" si="1"/>
        <v>136.25424145114488</v>
      </c>
      <c r="H64" s="21">
        <v>138231.70000000001</v>
      </c>
      <c r="I64" s="21">
        <f t="shared" si="1"/>
        <v>92.289701843100758</v>
      </c>
      <c r="J64" s="21">
        <v>138231.70000000001</v>
      </c>
      <c r="K64" s="21">
        <f t="shared" si="1"/>
        <v>100</v>
      </c>
    </row>
    <row r="65" spans="1:11" ht="47.25" x14ac:dyDescent="0.25">
      <c r="A65" s="12" t="s">
        <v>111</v>
      </c>
      <c r="B65" s="13" t="s">
        <v>112</v>
      </c>
      <c r="C65" s="21">
        <v>363497.3</v>
      </c>
      <c r="D65" s="21">
        <f>384507.2+2456.3</f>
        <v>386963.5</v>
      </c>
      <c r="E65" s="21">
        <f t="shared" si="0"/>
        <v>106.45567381105721</v>
      </c>
      <c r="F65" s="21">
        <v>404938.8</v>
      </c>
      <c r="G65" s="21">
        <f t="shared" si="1"/>
        <v>104.64521847667802</v>
      </c>
      <c r="H65" s="21">
        <v>399386.8</v>
      </c>
      <c r="I65" s="21">
        <f t="shared" si="1"/>
        <v>98.628928618349249</v>
      </c>
      <c r="J65" s="21">
        <v>399386.8</v>
      </c>
      <c r="K65" s="21">
        <f t="shared" si="1"/>
        <v>100</v>
      </c>
    </row>
    <row r="66" spans="1:11" ht="31.5" x14ac:dyDescent="0.25">
      <c r="A66" s="12" t="s">
        <v>113</v>
      </c>
      <c r="B66" s="13" t="s">
        <v>114</v>
      </c>
      <c r="C66" s="21">
        <v>9578515.8000000007</v>
      </c>
      <c r="D66" s="21">
        <f>8506381.6+38276.2+308387.2</f>
        <v>8853044.9999999981</v>
      </c>
      <c r="E66" s="21">
        <f t="shared" si="0"/>
        <v>92.426062501248865</v>
      </c>
      <c r="F66" s="21">
        <v>8377360.7000000002</v>
      </c>
      <c r="G66" s="21">
        <f t="shared" si="1"/>
        <v>94.62688487407442</v>
      </c>
      <c r="H66" s="21">
        <v>8273895.9000000004</v>
      </c>
      <c r="I66" s="21">
        <f t="shared" si="1"/>
        <v>98.764947532938379</v>
      </c>
      <c r="J66" s="21">
        <v>8216204.2999999998</v>
      </c>
      <c r="K66" s="21">
        <f t="shared" si="1"/>
        <v>99.302727509539963</v>
      </c>
    </row>
    <row r="67" spans="1:11" x14ac:dyDescent="0.25">
      <c r="A67" s="10">
        <v>1000</v>
      </c>
      <c r="B67" s="11" t="s">
        <v>115</v>
      </c>
      <c r="C67" s="25">
        <f>SUM(C68:C72)</f>
        <v>50676502.800000004</v>
      </c>
      <c r="D67" s="25">
        <f>SUM(D68:D72)</f>
        <v>55344263.500000007</v>
      </c>
      <c r="E67" s="25">
        <f t="shared" si="0"/>
        <v>109.21089744180217</v>
      </c>
      <c r="F67" s="25">
        <f>SUM(F68:F72)</f>
        <v>58695398.700000003</v>
      </c>
      <c r="G67" s="25">
        <f t="shared" si="1"/>
        <v>106.0550723563247</v>
      </c>
      <c r="H67" s="25">
        <f t="shared" ref="H67:J67" si="6">SUM(H68:H72)</f>
        <v>58066773.800000004</v>
      </c>
      <c r="I67" s="25">
        <f t="shared" si="1"/>
        <v>98.929004804596374</v>
      </c>
      <c r="J67" s="25">
        <f t="shared" si="6"/>
        <v>54006644.400000006</v>
      </c>
      <c r="K67" s="25">
        <f t="shared" si="1"/>
        <v>93.00782679267779</v>
      </c>
    </row>
    <row r="68" spans="1:11" x14ac:dyDescent="0.25">
      <c r="A68" s="12">
        <v>1001</v>
      </c>
      <c r="B68" s="13" t="s">
        <v>116</v>
      </c>
      <c r="C68" s="21">
        <v>549712.9</v>
      </c>
      <c r="D68" s="21">
        <v>608480.5</v>
      </c>
      <c r="E68" s="21">
        <f t="shared" si="0"/>
        <v>110.69059867432618</v>
      </c>
      <c r="F68" s="21">
        <v>690780.5</v>
      </c>
      <c r="G68" s="21">
        <f t="shared" si="1"/>
        <v>113.52549506516642</v>
      </c>
      <c r="H68" s="21">
        <v>776896.3</v>
      </c>
      <c r="I68" s="21">
        <f t="shared" si="1"/>
        <v>112.46644918320654</v>
      </c>
      <c r="J68" s="21">
        <v>881531</v>
      </c>
      <c r="K68" s="21">
        <f t="shared" si="1"/>
        <v>113.46829686278592</v>
      </c>
    </row>
    <row r="69" spans="1:11" ht="31.5" x14ac:dyDescent="0.25">
      <c r="A69" s="12">
        <v>1002</v>
      </c>
      <c r="B69" s="13" t="s">
        <v>117</v>
      </c>
      <c r="C69" s="21">
        <v>5935794.9000000004</v>
      </c>
      <c r="D69" s="21">
        <f>6996528+75187.5</f>
        <v>7071715.5</v>
      </c>
      <c r="E69" s="21">
        <f t="shared" si="0"/>
        <v>119.13678991839829</v>
      </c>
      <c r="F69" s="21">
        <v>7420939.7999999998</v>
      </c>
      <c r="G69" s="21">
        <f t="shared" si="1"/>
        <v>104.93832507826424</v>
      </c>
      <c r="H69" s="21">
        <v>7419097.7000000002</v>
      </c>
      <c r="I69" s="21">
        <f t="shared" si="1"/>
        <v>99.975176998471269</v>
      </c>
      <c r="J69" s="21">
        <v>7408850.0999999996</v>
      </c>
      <c r="K69" s="21">
        <f t="shared" si="1"/>
        <v>99.861875386814219</v>
      </c>
    </row>
    <row r="70" spans="1:11" ht="15.75" customHeight="1" x14ac:dyDescent="0.25">
      <c r="A70" s="12">
        <v>1003</v>
      </c>
      <c r="B70" s="13" t="s">
        <v>118</v>
      </c>
      <c r="C70" s="21">
        <v>32104363.100000001</v>
      </c>
      <c r="D70" s="21">
        <f>32535524.3+1560041.4+9014.6+1104475.5</f>
        <v>35209055.800000004</v>
      </c>
      <c r="E70" s="21">
        <f t="shared" si="0"/>
        <v>109.67062542349579</v>
      </c>
      <c r="F70" s="21">
        <f>37006568.2+60000</f>
        <v>37066568.200000003</v>
      </c>
      <c r="G70" s="21">
        <f t="shared" si="1"/>
        <v>105.27566660847518</v>
      </c>
      <c r="H70" s="21">
        <f>36379073.1+60000</f>
        <v>36439073.100000001</v>
      </c>
      <c r="I70" s="21">
        <f t="shared" si="1"/>
        <v>98.307113038859626</v>
      </c>
      <c r="J70" s="21">
        <f>31339655+60000</f>
        <v>31399655</v>
      </c>
      <c r="K70" s="21">
        <f t="shared" si="1"/>
        <v>86.170290099942193</v>
      </c>
    </row>
    <row r="71" spans="1:11" x14ac:dyDescent="0.25">
      <c r="A71" s="12">
        <v>1004</v>
      </c>
      <c r="B71" s="13" t="s">
        <v>119</v>
      </c>
      <c r="C71" s="21">
        <v>10615729.800000001</v>
      </c>
      <c r="D71" s="21">
        <v>10224928.1</v>
      </c>
      <c r="E71" s="21">
        <f t="shared" si="0"/>
        <v>96.318654417899737</v>
      </c>
      <c r="F71" s="21">
        <v>11239050.6</v>
      </c>
      <c r="G71" s="21">
        <f t="shared" si="1"/>
        <v>109.91813820187156</v>
      </c>
      <c r="H71" s="21">
        <v>11147112</v>
      </c>
      <c r="I71" s="21">
        <f t="shared" si="1"/>
        <v>99.181971829542263</v>
      </c>
      <c r="J71" s="21">
        <v>12030889.800000001</v>
      </c>
      <c r="K71" s="21">
        <f t="shared" si="1"/>
        <v>107.9283118353884</v>
      </c>
    </row>
    <row r="72" spans="1:11" ht="31.5" x14ac:dyDescent="0.25">
      <c r="A72" s="12">
        <v>1006</v>
      </c>
      <c r="B72" s="13" t="s">
        <v>120</v>
      </c>
      <c r="C72" s="21">
        <v>1470902.1</v>
      </c>
      <c r="D72" s="21">
        <f>2214347.8+15735.8</f>
        <v>2230083.5999999996</v>
      </c>
      <c r="E72" s="21">
        <f t="shared" si="0"/>
        <v>151.6133262710006</v>
      </c>
      <c r="F72" s="21">
        <v>2278059.6</v>
      </c>
      <c r="G72" s="21">
        <f t="shared" si="1"/>
        <v>102.15130948454131</v>
      </c>
      <c r="H72" s="21">
        <v>2284594.7000000002</v>
      </c>
      <c r="I72" s="21">
        <f t="shared" si="1"/>
        <v>100.28687133558753</v>
      </c>
      <c r="J72" s="21">
        <v>2285718.5</v>
      </c>
      <c r="K72" s="21">
        <f t="shared" si="1"/>
        <v>100.04919034435298</v>
      </c>
    </row>
    <row r="73" spans="1:11" ht="31.5" x14ac:dyDescent="0.25">
      <c r="A73" s="10">
        <v>1100</v>
      </c>
      <c r="B73" s="11" t="s">
        <v>121</v>
      </c>
      <c r="C73" s="25">
        <f>SUM(C74:C77)</f>
        <v>1942221.7</v>
      </c>
      <c r="D73" s="25">
        <f t="shared" ref="D73:J73" si="7">SUM(D74:D77)</f>
        <v>3895061.6</v>
      </c>
      <c r="E73" s="25">
        <f t="shared" si="0"/>
        <v>200.54670380832425</v>
      </c>
      <c r="F73" s="25">
        <f t="shared" si="7"/>
        <v>4187625.3</v>
      </c>
      <c r="G73" s="25">
        <f t="shared" si="1"/>
        <v>107.51114436803772</v>
      </c>
      <c r="H73" s="25">
        <f t="shared" si="7"/>
        <v>2896589.3</v>
      </c>
      <c r="I73" s="25">
        <f t="shared" si="1"/>
        <v>69.170212053117552</v>
      </c>
      <c r="J73" s="25">
        <f t="shared" si="7"/>
        <v>1575202.4</v>
      </c>
      <c r="K73" s="25">
        <f t="shared" si="1"/>
        <v>54.381282151390955</v>
      </c>
    </row>
    <row r="74" spans="1:11" x14ac:dyDescent="0.25">
      <c r="A74" s="12">
        <v>1101</v>
      </c>
      <c r="B74" s="13" t="s">
        <v>122</v>
      </c>
      <c r="C74" s="21">
        <v>1457.9</v>
      </c>
      <c r="D74" s="21">
        <v>30268.9</v>
      </c>
      <c r="E74" s="21">
        <f t="shared" si="0"/>
        <v>2076.1986418821593</v>
      </c>
      <c r="F74" s="21">
        <v>46034.6</v>
      </c>
      <c r="G74" s="21">
        <f t="shared" si="1"/>
        <v>152.0854738692189</v>
      </c>
      <c r="H74" s="21">
        <v>31034.6</v>
      </c>
      <c r="I74" s="21">
        <f t="shared" si="1"/>
        <v>67.415813323022249</v>
      </c>
      <c r="J74" s="21">
        <v>31034.6</v>
      </c>
      <c r="K74" s="21">
        <f t="shared" si="1"/>
        <v>100</v>
      </c>
    </row>
    <row r="75" spans="1:11" x14ac:dyDescent="0.25">
      <c r="A75" s="12">
        <v>1102</v>
      </c>
      <c r="B75" s="13" t="s">
        <v>123</v>
      </c>
      <c r="C75" s="21">
        <v>1018219.2</v>
      </c>
      <c r="D75" s="21">
        <v>2705187.9</v>
      </c>
      <c r="E75" s="21">
        <f t="shared" ref="E75:E88" si="8">D75/C75*100</f>
        <v>265.67834313083074</v>
      </c>
      <c r="F75" s="21">
        <v>2917950.9</v>
      </c>
      <c r="G75" s="21">
        <f t="shared" ref="G75:K88" si="9">F75/D75*100</f>
        <v>107.86499895256813</v>
      </c>
      <c r="H75" s="21">
        <v>1716631.5</v>
      </c>
      <c r="I75" s="21">
        <f t="shared" si="9"/>
        <v>58.830033774728697</v>
      </c>
      <c r="J75" s="21">
        <v>395244.5</v>
      </c>
      <c r="K75" s="21">
        <f t="shared" si="9"/>
        <v>23.024423121677543</v>
      </c>
    </row>
    <row r="76" spans="1:11" x14ac:dyDescent="0.25">
      <c r="A76" s="12">
        <v>1103</v>
      </c>
      <c r="B76" s="13" t="s">
        <v>124</v>
      </c>
      <c r="C76" s="21">
        <v>648795.6</v>
      </c>
      <c r="D76" s="21">
        <f>845806.7+2726</f>
        <v>848532.7</v>
      </c>
      <c r="E76" s="21">
        <f t="shared" si="8"/>
        <v>130.78582838724552</v>
      </c>
      <c r="F76" s="21">
        <v>886728.5</v>
      </c>
      <c r="G76" s="21">
        <f t="shared" si="9"/>
        <v>104.50139399459798</v>
      </c>
      <c r="H76" s="21">
        <v>827332.7</v>
      </c>
      <c r="I76" s="21">
        <f t="shared" si="9"/>
        <v>93.301692682709529</v>
      </c>
      <c r="J76" s="21">
        <v>827332.8</v>
      </c>
      <c r="K76" s="21">
        <f t="shared" si="9"/>
        <v>100.00001208703586</v>
      </c>
    </row>
    <row r="77" spans="1:11" ht="31.5" x14ac:dyDescent="0.25">
      <c r="A77" s="12" t="s">
        <v>141</v>
      </c>
      <c r="B77" s="13" t="s">
        <v>136</v>
      </c>
      <c r="C77" s="21">
        <v>273749</v>
      </c>
      <c r="D77" s="21">
        <v>311072.09999999998</v>
      </c>
      <c r="E77" s="21">
        <f t="shared" si="8"/>
        <v>113.6340589372016</v>
      </c>
      <c r="F77" s="21">
        <v>336911.3</v>
      </c>
      <c r="G77" s="21">
        <f t="shared" si="9"/>
        <v>108.30649871846431</v>
      </c>
      <c r="H77" s="21">
        <v>321590.5</v>
      </c>
      <c r="I77" s="21">
        <f t="shared" si="9"/>
        <v>95.45257164125988</v>
      </c>
      <c r="J77" s="21">
        <v>321590.5</v>
      </c>
      <c r="K77" s="21">
        <f t="shared" si="9"/>
        <v>100</v>
      </c>
    </row>
    <row r="78" spans="1:11" ht="31.5" x14ac:dyDescent="0.25">
      <c r="A78" s="10">
        <v>1200</v>
      </c>
      <c r="B78" s="11" t="s">
        <v>125</v>
      </c>
      <c r="C78" s="25">
        <f>SUM(C79:C80)</f>
        <v>515545.5</v>
      </c>
      <c r="D78" s="25">
        <f>SUM(D79:D80)</f>
        <v>548193.30000000005</v>
      </c>
      <c r="E78" s="25">
        <f t="shared" si="8"/>
        <v>106.33267092817221</v>
      </c>
      <c r="F78" s="25">
        <f t="shared" ref="F78:J78" si="10">SUM(F79:F80)</f>
        <v>605035</v>
      </c>
      <c r="G78" s="25">
        <f t="shared" si="9"/>
        <v>110.36891549021119</v>
      </c>
      <c r="H78" s="25">
        <f t="shared" si="10"/>
        <v>530035.1</v>
      </c>
      <c r="I78" s="25">
        <f t="shared" si="9"/>
        <v>87.604039435735118</v>
      </c>
      <c r="J78" s="25">
        <f t="shared" si="10"/>
        <v>530035</v>
      </c>
      <c r="K78" s="25">
        <f t="shared" si="9"/>
        <v>99.999981133324951</v>
      </c>
    </row>
    <row r="79" spans="1:11" x14ac:dyDescent="0.25">
      <c r="A79" s="12">
        <v>1201</v>
      </c>
      <c r="B79" s="13" t="s">
        <v>126</v>
      </c>
      <c r="C79" s="21">
        <v>415906.2</v>
      </c>
      <c r="D79" s="21">
        <v>435173.4</v>
      </c>
      <c r="E79" s="21">
        <f t="shared" si="8"/>
        <v>104.63258301992133</v>
      </c>
      <c r="F79" s="21">
        <v>487145.5</v>
      </c>
      <c r="G79" s="21">
        <f t="shared" si="9"/>
        <v>111.94284852888525</v>
      </c>
      <c r="H79" s="21">
        <v>430395.8</v>
      </c>
      <c r="I79" s="21">
        <f t="shared" si="9"/>
        <v>88.350564667024528</v>
      </c>
      <c r="J79" s="21">
        <v>430395.8</v>
      </c>
      <c r="K79" s="21">
        <f t="shared" si="9"/>
        <v>100</v>
      </c>
    </row>
    <row r="80" spans="1:11" ht="31.5" x14ac:dyDescent="0.25">
      <c r="A80" s="12">
        <v>1202</v>
      </c>
      <c r="B80" s="13" t="s">
        <v>127</v>
      </c>
      <c r="C80" s="21">
        <v>99639.3</v>
      </c>
      <c r="D80" s="21">
        <v>113019.9</v>
      </c>
      <c r="E80" s="21">
        <f t="shared" si="8"/>
        <v>113.42903854202106</v>
      </c>
      <c r="F80" s="21">
        <v>117889.5</v>
      </c>
      <c r="G80" s="21">
        <f t="shared" si="9"/>
        <v>104.30862175599165</v>
      </c>
      <c r="H80" s="21">
        <v>99639.3</v>
      </c>
      <c r="I80" s="21">
        <f t="shared" si="9"/>
        <v>84.519231992671109</v>
      </c>
      <c r="J80" s="21">
        <v>99639.2</v>
      </c>
      <c r="K80" s="21">
        <f t="shared" si="9"/>
        <v>99.999899637994233</v>
      </c>
    </row>
    <row r="81" spans="1:11" ht="47.25" x14ac:dyDescent="0.25">
      <c r="A81" s="10">
        <v>1300</v>
      </c>
      <c r="B81" s="11" t="s">
        <v>128</v>
      </c>
      <c r="C81" s="25">
        <f>C82</f>
        <v>142932.20000000001</v>
      </c>
      <c r="D81" s="25">
        <f>D82</f>
        <v>222957.9</v>
      </c>
      <c r="E81" s="25">
        <f t="shared" si="8"/>
        <v>155.98857360342876</v>
      </c>
      <c r="F81" s="25">
        <f t="shared" ref="F81:J81" si="11">F82</f>
        <v>375637.7</v>
      </c>
      <c r="G81" s="25">
        <f t="shared" si="9"/>
        <v>168.47920616403366</v>
      </c>
      <c r="H81" s="25">
        <f t="shared" si="11"/>
        <v>542249.1</v>
      </c>
      <c r="I81" s="25">
        <f t="shared" si="9"/>
        <v>144.3542807338028</v>
      </c>
      <c r="J81" s="25">
        <f t="shared" si="11"/>
        <v>1143143.8</v>
      </c>
      <c r="K81" s="25">
        <f t="shared" si="9"/>
        <v>210.8152507768109</v>
      </c>
    </row>
    <row r="82" spans="1:11" ht="47.25" x14ac:dyDescent="0.25">
      <c r="A82" s="12">
        <v>1301</v>
      </c>
      <c r="B82" s="13" t="s">
        <v>129</v>
      </c>
      <c r="C82" s="21">
        <v>142932.20000000001</v>
      </c>
      <c r="D82" s="21">
        <v>222957.9</v>
      </c>
      <c r="E82" s="21">
        <f t="shared" si="8"/>
        <v>155.98857360342876</v>
      </c>
      <c r="F82" s="21">
        <v>375637.7</v>
      </c>
      <c r="G82" s="21">
        <f t="shared" si="9"/>
        <v>168.47920616403366</v>
      </c>
      <c r="H82" s="21">
        <v>542249.1</v>
      </c>
      <c r="I82" s="21">
        <f t="shared" si="9"/>
        <v>144.3542807338028</v>
      </c>
      <c r="J82" s="21">
        <v>1143143.8</v>
      </c>
      <c r="K82" s="21">
        <f t="shared" si="9"/>
        <v>210.8152507768109</v>
      </c>
    </row>
    <row r="83" spans="1:11" ht="110.25" x14ac:dyDescent="0.25">
      <c r="A83" s="10">
        <v>1400</v>
      </c>
      <c r="B83" s="11" t="s">
        <v>130</v>
      </c>
      <c r="C83" s="25">
        <f>SUM(C84:C86)</f>
        <v>8239260.7999999998</v>
      </c>
      <c r="D83" s="25">
        <f>SUM(D84:D86)</f>
        <v>9212081.8000000007</v>
      </c>
      <c r="E83" s="25">
        <f t="shared" si="8"/>
        <v>111.80713930065184</v>
      </c>
      <c r="F83" s="25">
        <f t="shared" ref="F83:J83" si="12">SUM(F84:F86)</f>
        <v>10116393.399999999</v>
      </c>
      <c r="G83" s="25">
        <f t="shared" si="9"/>
        <v>109.81658239291794</v>
      </c>
      <c r="H83" s="25">
        <f t="shared" si="12"/>
        <v>9308880.5</v>
      </c>
      <c r="I83" s="25">
        <f t="shared" si="9"/>
        <v>92.017778786657317</v>
      </c>
      <c r="J83" s="25">
        <f t="shared" si="12"/>
        <v>9417114.5</v>
      </c>
      <c r="K83" s="25">
        <f t="shared" si="9"/>
        <v>101.16269620176132</v>
      </c>
    </row>
    <row r="84" spans="1:11" ht="63" x14ac:dyDescent="0.25">
      <c r="A84" s="12">
        <v>1401</v>
      </c>
      <c r="B84" s="13" t="s">
        <v>131</v>
      </c>
      <c r="C84" s="21">
        <v>3568815.5</v>
      </c>
      <c r="D84" s="21">
        <v>3957209.4</v>
      </c>
      <c r="E84" s="21">
        <f t="shared" si="8"/>
        <v>110.88299184981682</v>
      </c>
      <c r="F84" s="21">
        <v>5164938.8</v>
      </c>
      <c r="G84" s="21">
        <f t="shared" si="9"/>
        <v>130.51972432896778</v>
      </c>
      <c r="H84" s="21">
        <v>5477801.7999999998</v>
      </c>
      <c r="I84" s="21">
        <f t="shared" si="9"/>
        <v>106.05743866703705</v>
      </c>
      <c r="J84" s="21">
        <v>5902783.4000000004</v>
      </c>
      <c r="K84" s="21">
        <f t="shared" si="9"/>
        <v>107.75825076401999</v>
      </c>
    </row>
    <row r="85" spans="1:11" x14ac:dyDescent="0.25">
      <c r="A85" s="12">
        <v>1402</v>
      </c>
      <c r="B85" s="13" t="s">
        <v>132</v>
      </c>
      <c r="C85" s="21">
        <v>793785.3</v>
      </c>
      <c r="D85" s="21">
        <v>1056675</v>
      </c>
      <c r="E85" s="21">
        <f t="shared" si="8"/>
        <v>133.11848934466283</v>
      </c>
      <c r="F85" s="21">
        <f>606675+294247.3</f>
        <v>900922.3</v>
      </c>
      <c r="G85" s="21">
        <f t="shared" si="9"/>
        <v>85.260113090590778</v>
      </c>
      <c r="H85" s="21">
        <f>606675+79172.1</f>
        <v>685847.1</v>
      </c>
      <c r="I85" s="21">
        <f t="shared" si="9"/>
        <v>76.127219850146886</v>
      </c>
      <c r="J85" s="21">
        <v>607675</v>
      </c>
      <c r="K85" s="21">
        <f t="shared" si="9"/>
        <v>88.60210971220846</v>
      </c>
    </row>
    <row r="86" spans="1:11" ht="31.5" x14ac:dyDescent="0.25">
      <c r="A86" s="12">
        <v>1403</v>
      </c>
      <c r="B86" s="13" t="s">
        <v>133</v>
      </c>
      <c r="C86" s="21">
        <v>3876660</v>
      </c>
      <c r="D86" s="21">
        <v>4198197.4000000004</v>
      </c>
      <c r="E86" s="21">
        <f t="shared" si="8"/>
        <v>108.29418623247848</v>
      </c>
      <c r="F86" s="21">
        <v>4050532.3</v>
      </c>
      <c r="G86" s="21">
        <f t="shared" si="9"/>
        <v>96.482654674599132</v>
      </c>
      <c r="H86" s="21">
        <v>3145231.6</v>
      </c>
      <c r="I86" s="21">
        <f t="shared" si="9"/>
        <v>77.649833825544363</v>
      </c>
      <c r="J86" s="21">
        <v>2906656.1</v>
      </c>
      <c r="K86" s="21">
        <f t="shared" si="9"/>
        <v>92.414692132687463</v>
      </c>
    </row>
    <row r="87" spans="1:11" s="24" customFormat="1" x14ac:dyDescent="0.25">
      <c r="A87" s="19"/>
      <c r="B87" s="20" t="s">
        <v>134</v>
      </c>
      <c r="C87" s="21"/>
      <c r="D87" s="22"/>
      <c r="E87" s="21"/>
      <c r="F87" s="23">
        <v>0</v>
      </c>
      <c r="G87" s="21"/>
      <c r="H87" s="23">
        <v>5922209</v>
      </c>
      <c r="I87" s="21"/>
      <c r="J87" s="23">
        <v>12137674.699999999</v>
      </c>
      <c r="K87" s="21"/>
    </row>
    <row r="88" spans="1:11" x14ac:dyDescent="0.25">
      <c r="A88" s="9"/>
      <c r="B88" s="2" t="s">
        <v>135</v>
      </c>
      <c r="C88" s="27">
        <f>C8+C87</f>
        <v>215318586.39999998</v>
      </c>
      <c r="D88" s="27">
        <f>D8+D87</f>
        <v>252918360.70000005</v>
      </c>
      <c r="E88" s="27">
        <f t="shared" si="8"/>
        <v>117.46239139344455</v>
      </c>
      <c r="F88" s="27">
        <f>F8+F87</f>
        <v>263478758.20000002</v>
      </c>
      <c r="G88" s="27">
        <f t="shared" si="9"/>
        <v>104.17541750261708</v>
      </c>
      <c r="H88" s="27">
        <f>H8+H87</f>
        <v>253383277.70000002</v>
      </c>
      <c r="I88" s="27">
        <f t="shared" si="9"/>
        <v>96.168389220835493</v>
      </c>
      <c r="J88" s="27">
        <f>J8+J87</f>
        <v>244715733.30000004</v>
      </c>
      <c r="K88" s="27">
        <f t="shared" si="9"/>
        <v>96.579275286563245</v>
      </c>
    </row>
  </sheetData>
  <autoFilter ref="A8:J88"/>
  <mergeCells count="7">
    <mergeCell ref="F6:K6"/>
    <mergeCell ref="A3:K3"/>
    <mergeCell ref="A6:A7"/>
    <mergeCell ref="B6:B7"/>
    <mergeCell ref="C6:C7"/>
    <mergeCell ref="D6:D7"/>
    <mergeCell ref="E6:E7"/>
  </mergeCells>
  <pageMargins left="0.78740157480314965" right="0.39370078740157483" top="0.78740157480314965" bottom="0.78740157480314965" header="0.31496062992125984" footer="0.31496062992125984"/>
  <pageSetup paperSize="9" scale="74" fitToHeight="0" orientation="landscape" r:id="rId1"/>
  <headerFooter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для НИФИ</vt:lpstr>
      <vt:lpstr>'для НИФИ'!Заголовки_для_печати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Жарков Дмитрий Анатольевич</dc:creator>
  <cp:lastModifiedBy>Рыженкова Елена Николаевна</cp:lastModifiedBy>
  <cp:lastPrinted>2024-10-09T13:11:13Z</cp:lastPrinted>
  <dcterms:created xsi:type="dcterms:W3CDTF">2022-08-31T08:08:36Z</dcterms:created>
  <dcterms:modified xsi:type="dcterms:W3CDTF">2024-10-09T13:14:11Z</dcterms:modified>
</cp:coreProperties>
</file>