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90" windowWidth="14940" windowHeight="8190"/>
  </bookViews>
  <sheets>
    <sheet name="КВРы" sheetId="2" r:id="rId1"/>
  </sheets>
  <definedNames>
    <definedName name="_xlnm.Print_Area" localSheetId="0">КВРы!$A$1:$N$33</definedName>
  </definedNames>
  <calcPr calcId="145621"/>
</workbook>
</file>

<file path=xl/calcChain.xml><?xml version="1.0" encoding="utf-8"?>
<calcChain xmlns="http://schemas.openxmlformats.org/spreadsheetml/2006/main">
  <c r="F32" i="2" l="1"/>
  <c r="I27" i="2" l="1"/>
  <c r="F27" i="2"/>
  <c r="L25" i="2"/>
  <c r="I25" i="2"/>
  <c r="F25" i="2"/>
  <c r="L22" i="2"/>
  <c r="I22" i="2"/>
  <c r="F22" i="2"/>
  <c r="L21" i="2"/>
  <c r="I21" i="2"/>
  <c r="F21" i="2"/>
  <c r="L20" i="2"/>
  <c r="I20" i="2"/>
  <c r="F20" i="2"/>
  <c r="I17" i="2"/>
  <c r="F17" i="2"/>
  <c r="I15" i="2"/>
  <c r="F15" i="2"/>
  <c r="I14" i="2"/>
  <c r="F14" i="2"/>
  <c r="L9" i="2"/>
  <c r="I9" i="2"/>
  <c r="F9" i="2"/>
  <c r="L8" i="2"/>
  <c r="I8" i="2"/>
  <c r="F8" i="2"/>
  <c r="D19" i="2" l="1"/>
  <c r="L19" i="2" l="1"/>
  <c r="E9" i="2"/>
  <c r="H8" i="2" l="1"/>
  <c r="E8" i="2"/>
  <c r="N8" i="2" l="1"/>
  <c r="M8" i="2"/>
  <c r="K8" i="2"/>
  <c r="J8" i="2"/>
  <c r="G8" i="2"/>
  <c r="E10" i="2" l="1"/>
  <c r="E11" i="2"/>
  <c r="E13" i="2"/>
  <c r="E14" i="2"/>
  <c r="E15" i="2"/>
  <c r="E16" i="2"/>
  <c r="E18" i="2"/>
  <c r="E20" i="2"/>
  <c r="E21" i="2"/>
  <c r="E22" i="2"/>
  <c r="E23" i="2"/>
  <c r="E25" i="2"/>
  <c r="E26" i="2"/>
  <c r="E28" i="2"/>
  <c r="E17" i="2" l="1"/>
  <c r="N27" i="2" l="1"/>
  <c r="J27" i="2"/>
  <c r="H27" i="2"/>
  <c r="K27" i="2"/>
  <c r="F24" i="2"/>
  <c r="M25" i="2"/>
  <c r="K25" i="2"/>
  <c r="D24" i="2"/>
  <c r="C24" i="2"/>
  <c r="N23" i="2"/>
  <c r="M23" i="2"/>
  <c r="K23" i="2"/>
  <c r="J23" i="2"/>
  <c r="H23" i="2"/>
  <c r="G23" i="2"/>
  <c r="N22" i="2"/>
  <c r="M22" i="2"/>
  <c r="J22" i="2"/>
  <c r="H22" i="2"/>
  <c r="G22" i="2"/>
  <c r="K22" i="2"/>
  <c r="K21" i="2"/>
  <c r="J21" i="2"/>
  <c r="H21" i="2"/>
  <c r="G21" i="2"/>
  <c r="K20" i="2"/>
  <c r="H20" i="2"/>
  <c r="G20" i="2"/>
  <c r="F19" i="2"/>
  <c r="C19" i="2"/>
  <c r="K18" i="2"/>
  <c r="J18" i="2"/>
  <c r="H18" i="2"/>
  <c r="G18" i="2"/>
  <c r="K17" i="2"/>
  <c r="H17" i="2"/>
  <c r="G17" i="2"/>
  <c r="M16" i="2"/>
  <c r="J16" i="2"/>
  <c r="K16" i="2"/>
  <c r="G16" i="2"/>
  <c r="H16" i="2"/>
  <c r="M15" i="2"/>
  <c r="K15" i="2"/>
  <c r="J15" i="2"/>
  <c r="J14" i="2"/>
  <c r="H14" i="2"/>
  <c r="G14" i="2"/>
  <c r="N13" i="2"/>
  <c r="K13" i="2"/>
  <c r="J13" i="2"/>
  <c r="H13" i="2"/>
  <c r="G13" i="2"/>
  <c r="F12" i="2"/>
  <c r="D12" i="2"/>
  <c r="C12" i="2"/>
  <c r="N11" i="2"/>
  <c r="K11" i="2"/>
  <c r="J11" i="2"/>
  <c r="H11" i="2"/>
  <c r="G11" i="2"/>
  <c r="H10" i="2"/>
  <c r="G10" i="2"/>
  <c r="H9" i="2"/>
  <c r="E19" i="2" l="1"/>
  <c r="E24" i="2"/>
  <c r="C7" i="2"/>
  <c r="E12" i="2"/>
  <c r="D7" i="2"/>
  <c r="L24" i="2"/>
  <c r="J26" i="2"/>
  <c r="H19" i="2"/>
  <c r="H12" i="2"/>
  <c r="H26" i="2"/>
  <c r="G26" i="2"/>
  <c r="M27" i="2"/>
  <c r="N25" i="2"/>
  <c r="N15" i="2"/>
  <c r="N14" i="2"/>
  <c r="K14" i="2"/>
  <c r="K28" i="2"/>
  <c r="J28" i="2"/>
  <c r="G24" i="2"/>
  <c r="H24" i="2"/>
  <c r="I12" i="2"/>
  <c r="G15" i="2"/>
  <c r="N16" i="2"/>
  <c r="G19" i="2"/>
  <c r="G25" i="2"/>
  <c r="F7" i="2"/>
  <c r="F33" i="2" s="1"/>
  <c r="H15" i="2"/>
  <c r="I24" i="2"/>
  <c r="H25" i="2"/>
  <c r="G27" i="2"/>
  <c r="G28" i="2"/>
  <c r="L12" i="2"/>
  <c r="I19" i="2"/>
  <c r="J25" i="2"/>
  <c r="H28" i="2"/>
  <c r="G9" i="2"/>
  <c r="M11" i="2"/>
  <c r="G12" i="2"/>
  <c r="M13" i="2"/>
  <c r="M14" i="2"/>
  <c r="J17" i="2"/>
  <c r="J20" i="2"/>
  <c r="I7" i="2" l="1"/>
  <c r="I33" i="2" s="1"/>
  <c r="E7" i="2"/>
  <c r="H7" i="2"/>
  <c r="G7" i="2"/>
  <c r="M26" i="2"/>
  <c r="K12" i="2"/>
  <c r="N12" i="2"/>
  <c r="J12" i="2"/>
  <c r="N24" i="2"/>
  <c r="M24" i="2"/>
  <c r="N20" i="2"/>
  <c r="M20" i="2"/>
  <c r="N18" i="2"/>
  <c r="M18" i="2"/>
  <c r="N17" i="2"/>
  <c r="M17" i="2"/>
  <c r="N28" i="2"/>
  <c r="M28" i="2"/>
  <c r="K10" i="2"/>
  <c r="J10" i="2"/>
  <c r="K24" i="2"/>
  <c r="J24" i="2"/>
  <c r="K9" i="2"/>
  <c r="J9" i="2"/>
  <c r="K19" i="2"/>
  <c r="J19" i="2"/>
  <c r="N21" i="2"/>
  <c r="M21" i="2"/>
  <c r="K7" i="2" l="1"/>
  <c r="I30" i="2"/>
  <c r="J7" i="2"/>
  <c r="M12" i="2"/>
  <c r="N9" i="2"/>
  <c r="M9" i="2"/>
  <c r="L7" i="2"/>
  <c r="L33" i="2" s="1"/>
  <c r="N19" i="2"/>
  <c r="M19" i="2"/>
  <c r="N10" i="2"/>
  <c r="M10" i="2"/>
  <c r="L30" i="2" l="1"/>
  <c r="M7" i="2"/>
  <c r="N7" i="2"/>
</calcChain>
</file>

<file path=xl/sharedStrings.xml><?xml version="1.0" encoding="utf-8"?>
<sst xmlns="http://schemas.openxmlformats.org/spreadsheetml/2006/main" count="82" uniqueCount="75">
  <si>
    <t>КВР</t>
  </si>
  <si>
    <t>Наименование КВР</t>
  </si>
  <si>
    <t>ИТОГО: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</si>
  <si>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</si>
  <si>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</si>
  <si>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</si>
  <si>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</si>
  <si>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</si>
  <si>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</si>
  <si>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</si>
  <si>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</si>
  <si>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500</t>
  </si>
  <si>
    <t>511</t>
  </si>
  <si>
    <t>Дотации на выравнивание бюджетной обеспеченности</t>
  </si>
  <si>
    <t>512</t>
  </si>
  <si>
    <t>Иные дотации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</si>
  <si>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</si>
  <si>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</si>
  <si>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</si>
  <si>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</si>
  <si>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530</t>
  </si>
  <si>
    <t>Субвенции</t>
  </si>
  <si>
    <t>540</t>
  </si>
  <si>
    <t>Иные межбюджетные трансферты</t>
  </si>
  <si>
    <t>600</t>
  </si>
  <si>
    <t>700</t>
  </si>
  <si>
    <t>Обслуживание государственного (муниципального) долга</t>
  </si>
  <si>
    <t>800</t>
  </si>
  <si>
    <t>870</t>
  </si>
  <si>
    <t>Резервные средства</t>
  </si>
  <si>
    <t>отклонение</t>
  </si>
  <si>
    <t>%% к предыдущему году</t>
  </si>
  <si>
    <t>условно утвержденные расходы</t>
  </si>
  <si>
    <t>1</t>
  </si>
  <si>
    <t>2</t>
  </si>
  <si>
    <t>3</t>
  </si>
  <si>
    <t>4</t>
  </si>
  <si>
    <t>9</t>
  </si>
  <si>
    <t>12</t>
  </si>
  <si>
    <t>13=12-9</t>
  </si>
  <si>
    <t>14=12/9</t>
  </si>
  <si>
    <t>без УУР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</si>
  <si>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</si>
  <si>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</si>
  <si>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2025 год</t>
  </si>
  <si>
    <t>Межбюджетные трансферты, в том числе:</t>
  </si>
  <si>
    <t>Субсидии бюджетным и автономным учреждениям на иные цели</t>
  </si>
  <si>
    <t xml:space="preserve">Прочие  </t>
  </si>
  <si>
    <t>Субсидии государственным корпорациям (компаниям), публично-правовым компаниям</t>
  </si>
  <si>
    <t>820</t>
  </si>
  <si>
    <t xml:space="preserve">Прочие </t>
  </si>
  <si>
    <t xml:space="preserve">Субсидии бюджетным и автономным учреждениям на финансовое обеспечение государственного задания </t>
  </si>
  <si>
    <t>Предоставление субсидий бюджетным, автономным учреждениям и иным некоммерческим организациям, в том числе:</t>
  </si>
  <si>
    <t>Иные бюджетные ассигнования, в том числе:</t>
  </si>
  <si>
    <t>611, 614, 621, 624</t>
  </si>
  <si>
    <t>612, 622</t>
  </si>
  <si>
    <t>Проект</t>
  </si>
  <si>
    <t xml:space="preserve">Факт
</t>
  </si>
  <si>
    <t>% АИП в общем объеме расходов</t>
  </si>
  <si>
    <t>5=4/5</t>
  </si>
  <si>
    <t>6</t>
  </si>
  <si>
    <t>7=6-4</t>
  </si>
  <si>
    <t>8=6/4</t>
  </si>
  <si>
    <t>10=9-6</t>
  </si>
  <si>
    <t>11=9/6</t>
  </si>
  <si>
    <t>тыс. руб.</t>
  </si>
  <si>
    <t>Расходы областного бюджета Ленинградской области в разрезе групп видов расходов</t>
  </si>
  <si>
    <t>СПРАВОЧНО:</t>
  </si>
  <si>
    <t>2024 год</t>
  </si>
  <si>
    <t>2026 год</t>
  </si>
  <si>
    <t>АИП (с учетом резерва)</t>
  </si>
  <si>
    <t xml:space="preserve">2023 год </t>
  </si>
  <si>
    <t xml:space="preserve">Уточненный план на 01.08.2024 </t>
  </si>
  <si>
    <t>2027 год</t>
  </si>
  <si>
    <t>Приложение 10 к пояснительной записке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</si>
</sst>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3" fillId="0" borderId="0" xfId="0" applyFont="1" applyBorder="1" applyAlignment="1" applyProtection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6" fillId="2" borderId="3" xfId="0" applyNumberFormat="1" applyFont="1" applyFill="1" applyBorder="1" applyAlignment="1" applyProtection="1">
      <alignment horizontal="center"/>
    </xf>
    <xf numFmtId="49" fontId="6" fillId="2" borderId="3" xfId="0" applyNumberFormat="1" applyFont="1" applyFill="1" applyBorder="1" applyAlignment="1" applyProtection="1">
      <alignment horizontal="left"/>
    </xf>
    <xf numFmtId="164" fontId="6" fillId="2" borderId="3" xfId="0" applyNumberFormat="1" applyFont="1" applyFill="1" applyBorder="1" applyAlignment="1" applyProtection="1">
      <alignment horizontal="center" vertical="center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5" fontId="1" fillId="0" borderId="0" xfId="0" applyNumberFormat="1" applyFont="1"/>
    <xf numFmtId="164" fontId="6" fillId="0" borderId="3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8" fillId="0" borderId="0" xfId="0" applyFont="1" applyFill="1"/>
    <xf numFmtId="49" fontId="6" fillId="0" borderId="3" xfId="0" applyNumberFormat="1" applyFont="1" applyFill="1" applyBorder="1" applyAlignment="1" applyProtection="1">
      <alignment horizont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9" fillId="0" borderId="3" xfId="0" applyNumberFormat="1" applyFont="1" applyFill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center" vertical="center" wrapText="1"/>
    </xf>
    <xf numFmtId="164" fontId="7" fillId="2" borderId="3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11" fillId="0" borderId="0" xfId="0" applyFont="1" applyAlignment="1">
      <alignment horizontal="right"/>
    </xf>
    <xf numFmtId="49" fontId="12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38"/>
  <sheetViews>
    <sheetView showGridLines="0" tabSelected="1" view="pageBreakPreview" zoomScale="130" zoomScaleNormal="120" zoomScaleSheetLayoutView="130" workbookViewId="0">
      <selection activeCell="B12" sqref="B12"/>
    </sheetView>
  </sheetViews>
  <sheetFormatPr defaultColWidth="9.140625" defaultRowHeight="12.75" outlineLevelRow="1" x14ac:dyDescent="0.2"/>
  <cols>
    <col min="1" max="1" width="6.140625" style="1" customWidth="1"/>
    <col min="2" max="2" width="41.85546875" style="1" customWidth="1"/>
    <col min="3" max="3" width="12.85546875" style="2" customWidth="1"/>
    <col min="4" max="4" width="12.85546875" style="1" customWidth="1"/>
    <col min="5" max="5" width="7.42578125" style="1" customWidth="1"/>
    <col min="6" max="7" width="12.85546875" style="1" customWidth="1"/>
    <col min="8" max="8" width="7.42578125" style="1" customWidth="1"/>
    <col min="9" max="10" width="12.85546875" style="1" customWidth="1"/>
    <col min="11" max="11" width="7.42578125" style="1" customWidth="1"/>
    <col min="12" max="13" width="12.85546875" style="1" customWidth="1"/>
    <col min="14" max="14" width="7.42578125" style="1" customWidth="1"/>
    <col min="15" max="15" width="9.140625" style="1" customWidth="1"/>
    <col min="16" max="16384" width="9.140625" style="1"/>
  </cols>
  <sheetData>
    <row r="1" spans="1:15" ht="15" x14ac:dyDescent="0.25">
      <c r="M1" s="40"/>
      <c r="N1" s="41" t="s">
        <v>74</v>
      </c>
    </row>
    <row r="2" spans="1:15" ht="15.75" x14ac:dyDescent="0.25">
      <c r="A2" s="42" t="s">
        <v>66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3"/>
    </row>
    <row r="3" spans="1:15" x14ac:dyDescent="0.2">
      <c r="A3" s="4" t="s">
        <v>65</v>
      </c>
    </row>
    <row r="4" spans="1:15" s="6" customFormat="1" x14ac:dyDescent="0.2">
      <c r="A4" s="43" t="s">
        <v>0</v>
      </c>
      <c r="B4" s="43" t="s">
        <v>1</v>
      </c>
      <c r="C4" s="5" t="s">
        <v>71</v>
      </c>
      <c r="D4" s="44" t="s">
        <v>68</v>
      </c>
      <c r="E4" s="46"/>
      <c r="F4" s="44" t="s">
        <v>44</v>
      </c>
      <c r="G4" s="45"/>
      <c r="H4" s="46"/>
      <c r="I4" s="44" t="s">
        <v>69</v>
      </c>
      <c r="J4" s="45"/>
      <c r="K4" s="46"/>
      <c r="L4" s="44" t="s">
        <v>73</v>
      </c>
      <c r="M4" s="45"/>
      <c r="N4" s="46"/>
    </row>
    <row r="5" spans="1:15" ht="48" x14ac:dyDescent="0.2">
      <c r="A5" s="43"/>
      <c r="B5" s="43"/>
      <c r="C5" s="7" t="s">
        <v>57</v>
      </c>
      <c r="D5" s="7" t="s">
        <v>72</v>
      </c>
      <c r="E5" s="7" t="s">
        <v>31</v>
      </c>
      <c r="F5" s="8" t="s">
        <v>56</v>
      </c>
      <c r="G5" s="7" t="s">
        <v>30</v>
      </c>
      <c r="H5" s="7" t="s">
        <v>31</v>
      </c>
      <c r="I5" s="8" t="s">
        <v>56</v>
      </c>
      <c r="J5" s="7" t="s">
        <v>30</v>
      </c>
      <c r="K5" s="7" t="s">
        <v>31</v>
      </c>
      <c r="L5" s="8" t="s">
        <v>56</v>
      </c>
      <c r="M5" s="7" t="s">
        <v>30</v>
      </c>
      <c r="N5" s="7" t="s">
        <v>31</v>
      </c>
    </row>
    <row r="6" spans="1:15" s="6" customFormat="1" ht="14.25" customHeight="1" x14ac:dyDescent="0.2">
      <c r="A6" s="9" t="s">
        <v>33</v>
      </c>
      <c r="B6" s="9" t="s">
        <v>34</v>
      </c>
      <c r="C6" s="9" t="s">
        <v>35</v>
      </c>
      <c r="D6" s="9" t="s">
        <v>36</v>
      </c>
      <c r="E6" s="9" t="s">
        <v>59</v>
      </c>
      <c r="F6" s="10" t="s">
        <v>60</v>
      </c>
      <c r="G6" s="9" t="s">
        <v>61</v>
      </c>
      <c r="H6" s="9" t="s">
        <v>62</v>
      </c>
      <c r="I6" s="10" t="s">
        <v>37</v>
      </c>
      <c r="J6" s="9" t="s">
        <v>63</v>
      </c>
      <c r="K6" s="9" t="s">
        <v>64</v>
      </c>
      <c r="L6" s="10" t="s">
        <v>38</v>
      </c>
      <c r="M6" s="9" t="s">
        <v>39</v>
      </c>
      <c r="N6" s="9" t="s">
        <v>40</v>
      </c>
    </row>
    <row r="7" spans="1:15" x14ac:dyDescent="0.2">
      <c r="A7" s="11" t="s">
        <v>2</v>
      </c>
      <c r="B7" s="12"/>
      <c r="C7" s="13">
        <f>C8+C9+C10+C11+C12+C19+C23+C24</f>
        <v>215318586.40000004</v>
      </c>
      <c r="D7" s="13">
        <f>D8+D9+D10+D11+D12+D19+D23+D24</f>
        <v>255089207.09999996</v>
      </c>
      <c r="E7" s="13">
        <f t="shared" ref="E7:E26" si="0">D7/C7*100</f>
        <v>118.47059344246182</v>
      </c>
      <c r="F7" s="13">
        <f>F8+F9+F10+F11+F12+F19+F23+F24</f>
        <v>263478758.19999999</v>
      </c>
      <c r="G7" s="13">
        <f>G8+G9+G10+G11+G12+G19+G23+G24</f>
        <v>8389551.0999999903</v>
      </c>
      <c r="H7" s="13">
        <f t="shared" ref="H7:H28" si="1">F7/D7*100</f>
        <v>103.28886948819876</v>
      </c>
      <c r="I7" s="13">
        <f>I8+I9+I10+I11+I12+I19+I23+I24+I29</f>
        <v>253383277.69999999</v>
      </c>
      <c r="J7" s="13">
        <f>J8+J9+J10+J11+J12+J19+J23+J24</f>
        <v>-16017689.499999983</v>
      </c>
      <c r="K7" s="13">
        <f t="shared" ref="K7:K28" si="2">I7/F7*100</f>
        <v>96.168389220835493</v>
      </c>
      <c r="L7" s="13">
        <f>L8+L9+L10+L11+L12+L19+L23+L24+L29</f>
        <v>244715733.30000001</v>
      </c>
      <c r="M7" s="13">
        <f>M8+M9+M10+M11+M12+M19+M23+M24</f>
        <v>-14883010.100000003</v>
      </c>
      <c r="N7" s="13">
        <f>L7/G7*100</f>
        <v>2916.9109334109698</v>
      </c>
    </row>
    <row r="8" spans="1:15" s="29" customFormat="1" ht="51.75" customHeight="1" x14ac:dyDescent="0.2">
      <c r="A8" s="16" t="s">
        <v>3</v>
      </c>
      <c r="B8" s="17" t="s">
        <v>4</v>
      </c>
      <c r="C8" s="39">
        <v>13652123.6</v>
      </c>
      <c r="D8" s="27">
        <v>14760718.4</v>
      </c>
      <c r="E8" s="27">
        <f>D8/C8*100</f>
        <v>108.12031030835378</v>
      </c>
      <c r="F8" s="34">
        <f>16246641.1+21810.8</f>
        <v>16268451.9</v>
      </c>
      <c r="G8" s="27">
        <f t="shared" ref="G8:G28" si="3">F8-D8</f>
        <v>1507733.5</v>
      </c>
      <c r="H8" s="27">
        <f>F8/D8*100</f>
        <v>110.21449945146303</v>
      </c>
      <c r="I8" s="34">
        <f>16231178.3+21810.8</f>
        <v>16252989.100000001</v>
      </c>
      <c r="J8" s="27">
        <f>I8-F8</f>
        <v>-15462.799999998882</v>
      </c>
      <c r="K8" s="27">
        <f t="shared" si="2"/>
        <v>99.904952234576186</v>
      </c>
      <c r="L8" s="34">
        <f>15936768.4+21810.8</f>
        <v>15958579.200000001</v>
      </c>
      <c r="M8" s="27">
        <f>L8-I8</f>
        <v>-294409.90000000037</v>
      </c>
      <c r="N8" s="27">
        <f>L8/I8*100</f>
        <v>98.188579970191441</v>
      </c>
    </row>
    <row r="9" spans="1:15" s="29" customFormat="1" ht="21" x14ac:dyDescent="0.2">
      <c r="A9" s="16" t="s">
        <v>5</v>
      </c>
      <c r="B9" s="17" t="s">
        <v>6</v>
      </c>
      <c r="C9" s="27">
        <v>23610399.800000001</v>
      </c>
      <c r="D9" s="27">
        <v>27810358.899999999</v>
      </c>
      <c r="E9" s="27">
        <f>D9/C9*100</f>
        <v>117.78859797198351</v>
      </c>
      <c r="F9" s="34">
        <f>20931135.1+5941.7</f>
        <v>20937076.800000001</v>
      </c>
      <c r="G9" s="27">
        <f t="shared" si="3"/>
        <v>-6873282.0999999978</v>
      </c>
      <c r="H9" s="27">
        <f t="shared" si="1"/>
        <v>75.285172964812048</v>
      </c>
      <c r="I9" s="34">
        <f>19313067.1-18330.8</f>
        <v>19294736.300000001</v>
      </c>
      <c r="J9" s="27">
        <f>I9-F9</f>
        <v>-1642340.5</v>
      </c>
      <c r="K9" s="27">
        <f t="shared" si="2"/>
        <v>92.155827121004791</v>
      </c>
      <c r="L9" s="34">
        <f>17503240.5-21810.8</f>
        <v>17481429.699999999</v>
      </c>
      <c r="M9" s="27">
        <f t="shared" ref="M9:M11" si="4">L9-I9</f>
        <v>-1813306.6000000015</v>
      </c>
      <c r="N9" s="27">
        <f t="shared" ref="N9:N28" si="5">L9/I9*100</f>
        <v>90.602065911623768</v>
      </c>
    </row>
    <row r="10" spans="1:15" s="29" customFormat="1" ht="20.25" customHeight="1" x14ac:dyDescent="0.2">
      <c r="A10" s="16" t="s">
        <v>7</v>
      </c>
      <c r="B10" s="17" t="s">
        <v>8</v>
      </c>
      <c r="C10" s="27">
        <v>30511737.800000001</v>
      </c>
      <c r="D10" s="27">
        <v>29852091.399999999</v>
      </c>
      <c r="E10" s="27">
        <f t="shared" si="0"/>
        <v>97.838056932961706</v>
      </c>
      <c r="F10" s="34">
        <v>34275277.299999997</v>
      </c>
      <c r="G10" s="27">
        <f t="shared" si="3"/>
        <v>4423185.8999999985</v>
      </c>
      <c r="H10" s="27">
        <f t="shared" si="1"/>
        <v>114.81700508259867</v>
      </c>
      <c r="I10" s="34">
        <v>33691049.5</v>
      </c>
      <c r="J10" s="27">
        <f>I10-F10</f>
        <v>-584227.79999999702</v>
      </c>
      <c r="K10" s="27">
        <f t="shared" si="2"/>
        <v>98.295483374542982</v>
      </c>
      <c r="L10" s="34">
        <v>29018680.300000001</v>
      </c>
      <c r="M10" s="27">
        <f t="shared" si="4"/>
        <v>-4672369.1999999993</v>
      </c>
      <c r="N10" s="27">
        <f t="shared" si="5"/>
        <v>86.131719642630898</v>
      </c>
    </row>
    <row r="11" spans="1:15" s="29" customFormat="1" ht="21" x14ac:dyDescent="0.2">
      <c r="A11" s="16" t="s">
        <v>9</v>
      </c>
      <c r="B11" s="17" t="s">
        <v>10</v>
      </c>
      <c r="C11" s="27">
        <v>8141500.9000000004</v>
      </c>
      <c r="D11" s="27">
        <v>10753068</v>
      </c>
      <c r="E11" s="27">
        <f t="shared" si="0"/>
        <v>132.07721932451054</v>
      </c>
      <c r="F11" s="34">
        <v>14081362.9</v>
      </c>
      <c r="G11" s="27">
        <f t="shared" si="3"/>
        <v>3328294.9000000004</v>
      </c>
      <c r="H11" s="27">
        <f t="shared" si="1"/>
        <v>130.95204921981335</v>
      </c>
      <c r="I11" s="34">
        <v>14341507.300000001</v>
      </c>
      <c r="J11" s="27">
        <f>I11-F11</f>
        <v>260144.40000000037</v>
      </c>
      <c r="K11" s="27">
        <f t="shared" si="2"/>
        <v>101.84743765108135</v>
      </c>
      <c r="L11" s="34">
        <v>7299673.2999999998</v>
      </c>
      <c r="M11" s="27">
        <f t="shared" si="4"/>
        <v>-7041834.0000000009</v>
      </c>
      <c r="N11" s="27">
        <f t="shared" si="5"/>
        <v>50.898926781566388</v>
      </c>
    </row>
    <row r="12" spans="1:15" s="29" customFormat="1" x14ac:dyDescent="0.2">
      <c r="A12" s="16" t="s">
        <v>11</v>
      </c>
      <c r="B12" s="17" t="s">
        <v>45</v>
      </c>
      <c r="C12" s="27">
        <f>SUM(C13:C18)</f>
        <v>76385547</v>
      </c>
      <c r="D12" s="27">
        <f>SUM(D13:D18)</f>
        <v>95709802</v>
      </c>
      <c r="E12" s="27">
        <f t="shared" si="0"/>
        <v>125.29831330526441</v>
      </c>
      <c r="F12" s="34">
        <f>SUM(F13:F18)</f>
        <v>87316757.099999994</v>
      </c>
      <c r="G12" s="27">
        <f t="shared" si="3"/>
        <v>-8393044.900000006</v>
      </c>
      <c r="H12" s="27">
        <f t="shared" si="1"/>
        <v>91.230736325209406</v>
      </c>
      <c r="I12" s="34">
        <f>SUM(I13:I18)</f>
        <v>77956858</v>
      </c>
      <c r="J12" s="27">
        <f>SUM(J13:J18)</f>
        <v>-9359899.099999994</v>
      </c>
      <c r="K12" s="27">
        <f t="shared" si="2"/>
        <v>89.280523680831934</v>
      </c>
      <c r="L12" s="34">
        <f>SUM(L13:L18)</f>
        <v>79333223.5</v>
      </c>
      <c r="M12" s="27">
        <f>SUM(M13:M18)</f>
        <v>1376365.5000000014</v>
      </c>
      <c r="N12" s="27">
        <f t="shared" si="5"/>
        <v>101.76554768279655</v>
      </c>
    </row>
    <row r="13" spans="1:15" s="30" customFormat="1" outlineLevel="1" x14ac:dyDescent="0.2">
      <c r="A13" s="14" t="s">
        <v>12</v>
      </c>
      <c r="B13" s="15" t="s">
        <v>13</v>
      </c>
      <c r="C13" s="28">
        <v>3568815.5</v>
      </c>
      <c r="D13" s="28">
        <v>3957209.4</v>
      </c>
      <c r="E13" s="28">
        <f t="shared" si="0"/>
        <v>110.88299184981682</v>
      </c>
      <c r="F13" s="35">
        <v>5164938.8</v>
      </c>
      <c r="G13" s="28">
        <f t="shared" si="3"/>
        <v>1207729.3999999999</v>
      </c>
      <c r="H13" s="28">
        <f t="shared" si="1"/>
        <v>130.51972432896778</v>
      </c>
      <c r="I13" s="35">
        <v>5477801.7999999998</v>
      </c>
      <c r="J13" s="28">
        <f t="shared" ref="J13:J28" si="6">I13-F13</f>
        <v>312863</v>
      </c>
      <c r="K13" s="28">
        <f t="shared" si="2"/>
        <v>106.05743866703705</v>
      </c>
      <c r="L13" s="35">
        <v>5902783.4000000004</v>
      </c>
      <c r="M13" s="28">
        <f t="shared" ref="M13:M28" si="7">L13-I13</f>
        <v>424981.60000000056</v>
      </c>
      <c r="N13" s="28">
        <f t="shared" si="5"/>
        <v>107.75825076401999</v>
      </c>
    </row>
    <row r="14" spans="1:15" s="30" customFormat="1" outlineLevel="1" x14ac:dyDescent="0.2">
      <c r="A14" s="14" t="s">
        <v>14</v>
      </c>
      <c r="B14" s="15" t="s">
        <v>15</v>
      </c>
      <c r="C14" s="28">
        <v>793785.4</v>
      </c>
      <c r="D14" s="28">
        <v>1056675</v>
      </c>
      <c r="E14" s="28">
        <f t="shared" si="0"/>
        <v>133.11847257457745</v>
      </c>
      <c r="F14" s="35">
        <f>606675+294247.3</f>
        <v>900922.3</v>
      </c>
      <c r="G14" s="28">
        <f t="shared" si="3"/>
        <v>-155752.69999999995</v>
      </c>
      <c r="H14" s="28">
        <f t="shared" si="1"/>
        <v>85.260113090590778</v>
      </c>
      <c r="I14" s="35">
        <f>606675+79172.1</f>
        <v>685847.1</v>
      </c>
      <c r="J14" s="28">
        <f t="shared" si="6"/>
        <v>-215075.20000000007</v>
      </c>
      <c r="K14" s="28">
        <f t="shared" si="2"/>
        <v>76.127219850146886</v>
      </c>
      <c r="L14" s="35">
        <v>607675</v>
      </c>
      <c r="M14" s="28">
        <f t="shared" si="7"/>
        <v>-78172.099999999977</v>
      </c>
      <c r="N14" s="28">
        <f t="shared" si="5"/>
        <v>88.60210971220846</v>
      </c>
    </row>
    <row r="15" spans="1:15" s="30" customFormat="1" ht="33.75" outlineLevel="1" x14ac:dyDescent="0.2">
      <c r="A15" s="14" t="s">
        <v>16</v>
      </c>
      <c r="B15" s="15" t="s">
        <v>17</v>
      </c>
      <c r="C15" s="28">
        <v>9557345.4000000004</v>
      </c>
      <c r="D15" s="28">
        <v>12304735.800000001</v>
      </c>
      <c r="E15" s="28">
        <f t="shared" si="0"/>
        <v>128.74637553645388</v>
      </c>
      <c r="F15" s="35">
        <f>10037590.8+0.1+55284.2</f>
        <v>10092875.1</v>
      </c>
      <c r="G15" s="28">
        <f t="shared" si="3"/>
        <v>-2211860.7000000011</v>
      </c>
      <c r="H15" s="28">
        <f t="shared" si="1"/>
        <v>82.024313760560375</v>
      </c>
      <c r="I15" s="35">
        <f>6630990.8+10123.5</f>
        <v>6641114.2999999998</v>
      </c>
      <c r="J15" s="28">
        <f t="shared" si="6"/>
        <v>-3451760.8</v>
      </c>
      <c r="K15" s="28">
        <f t="shared" si="2"/>
        <v>65.800024613402769</v>
      </c>
      <c r="L15" s="35">
        <v>6156596.2000000002</v>
      </c>
      <c r="M15" s="28">
        <f t="shared" si="7"/>
        <v>-484518.09999999963</v>
      </c>
      <c r="N15" s="28">
        <f t="shared" si="5"/>
        <v>92.704265005648239</v>
      </c>
    </row>
    <row r="16" spans="1:15" s="30" customFormat="1" ht="33.75" outlineLevel="1" x14ac:dyDescent="0.2">
      <c r="A16" s="14" t="s">
        <v>18</v>
      </c>
      <c r="B16" s="15" t="s">
        <v>19</v>
      </c>
      <c r="C16" s="28">
        <v>9058081.8000000007</v>
      </c>
      <c r="D16" s="28">
        <v>20990994.300000001</v>
      </c>
      <c r="E16" s="28">
        <f t="shared" si="0"/>
        <v>231.73774275255496</v>
      </c>
      <c r="F16" s="35">
        <v>10137933.5</v>
      </c>
      <c r="G16" s="28">
        <f t="shared" si="3"/>
        <v>-10853060.800000001</v>
      </c>
      <c r="H16" s="28">
        <f t="shared" si="1"/>
        <v>48.296585455220672</v>
      </c>
      <c r="I16" s="35">
        <v>3975016.5</v>
      </c>
      <c r="J16" s="28">
        <f t="shared" si="6"/>
        <v>-6162917</v>
      </c>
      <c r="K16" s="28">
        <f t="shared" si="2"/>
        <v>39.209336892967386</v>
      </c>
      <c r="L16" s="35">
        <v>6334710.9000000004</v>
      </c>
      <c r="M16" s="28">
        <f t="shared" si="7"/>
        <v>2359694.4000000004</v>
      </c>
      <c r="N16" s="28">
        <f t="shared" si="5"/>
        <v>159.36313471906345</v>
      </c>
    </row>
    <row r="17" spans="1:14" s="30" customFormat="1" outlineLevel="1" x14ac:dyDescent="0.2">
      <c r="A17" s="14" t="s">
        <v>20</v>
      </c>
      <c r="B17" s="15" t="s">
        <v>21</v>
      </c>
      <c r="C17" s="28">
        <v>44811354.100000001</v>
      </c>
      <c r="D17" s="28">
        <v>50679427.700000003</v>
      </c>
      <c r="E17" s="28">
        <f t="shared" si="0"/>
        <v>113.09505976298986</v>
      </c>
      <c r="F17" s="35">
        <f>54493753.3-41516.6</f>
        <v>54452236.699999996</v>
      </c>
      <c r="G17" s="28">
        <f t="shared" si="3"/>
        <v>3772808.9999999925</v>
      </c>
      <c r="H17" s="28">
        <f t="shared" si="1"/>
        <v>107.4444585726843</v>
      </c>
      <c r="I17" s="35">
        <f>54668125.6-29202.9</f>
        <v>54638922.700000003</v>
      </c>
      <c r="J17" s="28">
        <f t="shared" si="6"/>
        <v>186686.00000000745</v>
      </c>
      <c r="K17" s="28">
        <f t="shared" si="2"/>
        <v>100.34284358423795</v>
      </c>
      <c r="L17" s="35">
        <v>54001010.200000003</v>
      </c>
      <c r="M17" s="28">
        <f t="shared" si="7"/>
        <v>-637912.5</v>
      </c>
      <c r="N17" s="28">
        <f t="shared" si="5"/>
        <v>98.832494367609485</v>
      </c>
    </row>
    <row r="18" spans="1:14" s="30" customFormat="1" outlineLevel="1" x14ac:dyDescent="0.2">
      <c r="A18" s="14" t="s">
        <v>22</v>
      </c>
      <c r="B18" s="15" t="s">
        <v>23</v>
      </c>
      <c r="C18" s="28">
        <v>8596164.8000000007</v>
      </c>
      <c r="D18" s="28">
        <v>6720759.7999999998</v>
      </c>
      <c r="E18" s="28">
        <f t="shared" si="0"/>
        <v>78.183235854203247</v>
      </c>
      <c r="F18" s="35">
        <v>6567850.7000000002</v>
      </c>
      <c r="G18" s="28">
        <f t="shared" si="3"/>
        <v>-152909.09999999963</v>
      </c>
      <c r="H18" s="28">
        <f t="shared" si="1"/>
        <v>97.72482420812004</v>
      </c>
      <c r="I18" s="35">
        <v>6538155.5999999996</v>
      </c>
      <c r="J18" s="28">
        <f t="shared" si="6"/>
        <v>-29695.100000000559</v>
      </c>
      <c r="K18" s="28">
        <f t="shared" si="2"/>
        <v>99.547871878390893</v>
      </c>
      <c r="L18" s="35">
        <v>6330447.7999999998</v>
      </c>
      <c r="M18" s="28">
        <f t="shared" si="7"/>
        <v>-207707.79999999981</v>
      </c>
      <c r="N18" s="28">
        <f t="shared" si="5"/>
        <v>96.823143823619006</v>
      </c>
    </row>
    <row r="19" spans="1:14" s="29" customFormat="1" ht="31.5" x14ac:dyDescent="0.2">
      <c r="A19" s="16" t="s">
        <v>24</v>
      </c>
      <c r="B19" s="17" t="s">
        <v>52</v>
      </c>
      <c r="C19" s="27">
        <f>SUM(C20:C22)</f>
        <v>27662107.300000004</v>
      </c>
      <c r="D19" s="27">
        <f>SUM(D20:D22)</f>
        <v>32953567.600000001</v>
      </c>
      <c r="E19" s="27">
        <f t="shared" si="0"/>
        <v>119.12891249612063</v>
      </c>
      <c r="F19" s="34">
        <f>SUM(F20:F22)</f>
        <v>45431909.399999999</v>
      </c>
      <c r="G19" s="27">
        <f t="shared" si="3"/>
        <v>12478341.799999997</v>
      </c>
      <c r="H19" s="27">
        <f t="shared" si="1"/>
        <v>137.86643665252194</v>
      </c>
      <c r="I19" s="34">
        <f>SUM(I20:I22)</f>
        <v>40984367.799999997</v>
      </c>
      <c r="J19" s="27">
        <f t="shared" si="6"/>
        <v>-4447541.6000000015</v>
      </c>
      <c r="K19" s="27">
        <f t="shared" si="2"/>
        <v>90.210533392197689</v>
      </c>
      <c r="L19" s="34">
        <f>SUM(L20:L22)</f>
        <v>39684413</v>
      </c>
      <c r="M19" s="27">
        <f>L19-I19</f>
        <v>-1299954.799999997</v>
      </c>
      <c r="N19" s="27">
        <f>L19/I19*100</f>
        <v>96.828169202600222</v>
      </c>
    </row>
    <row r="20" spans="1:14" s="30" customFormat="1" ht="22.5" x14ac:dyDescent="0.2">
      <c r="A20" s="14" t="s">
        <v>54</v>
      </c>
      <c r="B20" s="15" t="s">
        <v>51</v>
      </c>
      <c r="C20" s="28">
        <v>19789158.199999999</v>
      </c>
      <c r="D20" s="28">
        <v>22622285.600000001</v>
      </c>
      <c r="E20" s="28">
        <f t="shared" si="0"/>
        <v>114.3165635009174</v>
      </c>
      <c r="F20" s="35">
        <f>35152841.7+1094650.3+19079.4</f>
        <v>36266571.399999999</v>
      </c>
      <c r="G20" s="28">
        <f t="shared" si="3"/>
        <v>13644285.799999997</v>
      </c>
      <c r="H20" s="28">
        <f t="shared" si="1"/>
        <v>160.31347159722887</v>
      </c>
      <c r="I20" s="35">
        <f>32032052.4+874685+19079.4</f>
        <v>32925816.799999997</v>
      </c>
      <c r="J20" s="28">
        <f t="shared" si="6"/>
        <v>-3340754.6000000015</v>
      </c>
      <c r="K20" s="28">
        <f t="shared" si="2"/>
        <v>90.788336280390709</v>
      </c>
      <c r="L20" s="35">
        <f>31269009.6+914565</f>
        <v>32183574.600000001</v>
      </c>
      <c r="M20" s="28">
        <f t="shared" ref="M20:M22" si="8">L20-I20</f>
        <v>-742242.19999999553</v>
      </c>
      <c r="N20" s="28">
        <f t="shared" ref="N20:N22" si="9">L20/I20*100</f>
        <v>97.745713631013103</v>
      </c>
    </row>
    <row r="21" spans="1:14" s="30" customFormat="1" ht="22.5" customHeight="1" x14ac:dyDescent="0.2">
      <c r="A21" s="14" t="s">
        <v>55</v>
      </c>
      <c r="B21" s="15" t="s">
        <v>46</v>
      </c>
      <c r="C21" s="28">
        <v>4478775.9000000004</v>
      </c>
      <c r="D21" s="28">
        <v>6512798.2000000002</v>
      </c>
      <c r="E21" s="28">
        <f t="shared" si="0"/>
        <v>145.41469243861923</v>
      </c>
      <c r="F21" s="35">
        <f>6088288.3+83000+17153</f>
        <v>6188441.2999999998</v>
      </c>
      <c r="G21" s="28">
        <f t="shared" si="3"/>
        <v>-324356.90000000037</v>
      </c>
      <c r="H21" s="28">
        <f t="shared" si="1"/>
        <v>95.01969982733381</v>
      </c>
      <c r="I21" s="35">
        <f>5034889.3+237000</f>
        <v>5271889.3</v>
      </c>
      <c r="J21" s="28">
        <f t="shared" si="6"/>
        <v>-916552</v>
      </c>
      <c r="K21" s="28">
        <f t="shared" si="2"/>
        <v>85.18929152644624</v>
      </c>
      <c r="L21" s="35">
        <f>4526820.6+197120</f>
        <v>4723940.5999999996</v>
      </c>
      <c r="M21" s="28">
        <f t="shared" si="8"/>
        <v>-547948.70000000019</v>
      </c>
      <c r="N21" s="28">
        <f t="shared" si="9"/>
        <v>89.606217641937207</v>
      </c>
    </row>
    <row r="22" spans="1:14" s="30" customFormat="1" x14ac:dyDescent="0.2">
      <c r="A22" s="14"/>
      <c r="B22" s="15" t="s">
        <v>47</v>
      </c>
      <c r="C22" s="28">
        <v>3394173.2000000011</v>
      </c>
      <c r="D22" s="28">
        <v>3818483.8</v>
      </c>
      <c r="E22" s="28">
        <f t="shared" si="0"/>
        <v>112.50114755487431</v>
      </c>
      <c r="F22" s="35">
        <f>3036896.7-60000</f>
        <v>2976896.7</v>
      </c>
      <c r="G22" s="28">
        <f t="shared" si="3"/>
        <v>-841587.09999999963</v>
      </c>
      <c r="H22" s="28">
        <f t="shared" si="1"/>
        <v>77.960176235394798</v>
      </c>
      <c r="I22" s="35">
        <f>2846661.7-60000</f>
        <v>2786661.7</v>
      </c>
      <c r="J22" s="28">
        <f t="shared" si="6"/>
        <v>-190235</v>
      </c>
      <c r="K22" s="28">
        <f t="shared" si="2"/>
        <v>93.609620380848284</v>
      </c>
      <c r="L22" s="35">
        <f>2836897.8-60000</f>
        <v>2776897.8</v>
      </c>
      <c r="M22" s="28">
        <f t="shared" si="8"/>
        <v>-9763.9000000003725</v>
      </c>
      <c r="N22" s="28">
        <f t="shared" si="9"/>
        <v>99.649620188916359</v>
      </c>
    </row>
    <row r="23" spans="1:14" s="29" customFormat="1" ht="12.75" customHeight="1" x14ac:dyDescent="0.2">
      <c r="A23" s="16" t="s">
        <v>25</v>
      </c>
      <c r="B23" s="17" t="s">
        <v>26</v>
      </c>
      <c r="C23" s="27">
        <v>142932.20000000001</v>
      </c>
      <c r="D23" s="27">
        <v>352723</v>
      </c>
      <c r="E23" s="27">
        <f t="shared" si="0"/>
        <v>246.77644365650283</v>
      </c>
      <c r="F23" s="34">
        <v>375637.7</v>
      </c>
      <c r="G23" s="27">
        <f t="shared" si="3"/>
        <v>22914.700000000012</v>
      </c>
      <c r="H23" s="27">
        <f t="shared" si="1"/>
        <v>106.49651426189956</v>
      </c>
      <c r="I23" s="34">
        <v>542249.1</v>
      </c>
      <c r="J23" s="27">
        <f t="shared" si="6"/>
        <v>166611.39999999997</v>
      </c>
      <c r="K23" s="27">
        <f t="shared" si="2"/>
        <v>144.3542807338028</v>
      </c>
      <c r="L23" s="34">
        <v>1143143.8</v>
      </c>
      <c r="M23" s="27">
        <f t="shared" si="7"/>
        <v>600894.70000000007</v>
      </c>
      <c r="N23" s="27">
        <f>L23/I23*100</f>
        <v>210.8152507768109</v>
      </c>
    </row>
    <row r="24" spans="1:14" s="29" customFormat="1" x14ac:dyDescent="0.2">
      <c r="A24" s="16" t="s">
        <v>27</v>
      </c>
      <c r="B24" s="17" t="s">
        <v>53</v>
      </c>
      <c r="C24" s="27">
        <f>SUM(C25:C28)</f>
        <v>35212237.799999997</v>
      </c>
      <c r="D24" s="27">
        <f>SUM(D25:D28)</f>
        <v>42896877.799999997</v>
      </c>
      <c r="E24" s="27">
        <f t="shared" si="0"/>
        <v>121.82377627814385</v>
      </c>
      <c r="F24" s="34">
        <f>SUM(F25:F28)</f>
        <v>44792285.099999994</v>
      </c>
      <c r="G24" s="27">
        <f t="shared" si="3"/>
        <v>1895407.299999997</v>
      </c>
      <c r="H24" s="27">
        <f t="shared" si="1"/>
        <v>104.4185204080284</v>
      </c>
      <c r="I24" s="34">
        <f>SUM(I25:I28)</f>
        <v>44397311.600000001</v>
      </c>
      <c r="J24" s="27">
        <f t="shared" si="6"/>
        <v>-394973.49999999255</v>
      </c>
      <c r="K24" s="27">
        <f t="shared" si="2"/>
        <v>99.118210872434389</v>
      </c>
      <c r="L24" s="34">
        <f>SUM(L25:L28)</f>
        <v>42658915.799999997</v>
      </c>
      <c r="M24" s="27">
        <f t="shared" si="7"/>
        <v>-1738395.8000000045</v>
      </c>
      <c r="N24" s="27">
        <f t="shared" si="5"/>
        <v>96.084457059782864</v>
      </c>
    </row>
    <row r="25" spans="1:14" s="30" customFormat="1" ht="45" outlineLevel="1" x14ac:dyDescent="0.2">
      <c r="A25" s="14" t="s">
        <v>42</v>
      </c>
      <c r="B25" s="15" t="s">
        <v>43</v>
      </c>
      <c r="C25" s="28">
        <v>27394385.199999999</v>
      </c>
      <c r="D25" s="28">
        <v>28156055.5</v>
      </c>
      <c r="E25" s="28">
        <f t="shared" si="0"/>
        <v>102.78038836951157</v>
      </c>
      <c r="F25" s="35">
        <f>25961295.2-1117650.3</f>
        <v>24843644.899999999</v>
      </c>
      <c r="G25" s="28">
        <f t="shared" si="3"/>
        <v>-3312410.6000000015</v>
      </c>
      <c r="H25" s="28">
        <f t="shared" si="1"/>
        <v>88.235530363974448</v>
      </c>
      <c r="I25" s="35">
        <f>25201734.8-1051685</f>
        <v>24150049.800000001</v>
      </c>
      <c r="J25" s="28">
        <f t="shared" si="6"/>
        <v>-693595.09999999776</v>
      </c>
      <c r="K25" s="28">
        <f t="shared" si="2"/>
        <v>97.20815885594952</v>
      </c>
      <c r="L25" s="35">
        <f>23226511.7-1051685</f>
        <v>22174826.699999999</v>
      </c>
      <c r="M25" s="28">
        <f t="shared" si="7"/>
        <v>-1975223.1000000015</v>
      </c>
      <c r="N25" s="28">
        <f t="shared" si="5"/>
        <v>91.821039226179977</v>
      </c>
    </row>
    <row r="26" spans="1:14" s="30" customFormat="1" ht="22.5" outlineLevel="1" x14ac:dyDescent="0.2">
      <c r="A26" s="14" t="s">
        <v>49</v>
      </c>
      <c r="B26" s="15" t="s">
        <v>48</v>
      </c>
      <c r="C26" s="28">
        <v>7215836.0999999996</v>
      </c>
      <c r="D26" s="28">
        <v>5209850</v>
      </c>
      <c r="E26" s="28">
        <f t="shared" si="0"/>
        <v>72.200226388179743</v>
      </c>
      <c r="F26" s="35">
        <v>0</v>
      </c>
      <c r="G26" s="28">
        <f t="shared" si="3"/>
        <v>-5209850</v>
      </c>
      <c r="H26" s="28">
        <f t="shared" si="1"/>
        <v>0</v>
      </c>
      <c r="I26" s="35">
        <v>0</v>
      </c>
      <c r="J26" s="28">
        <f t="shared" si="6"/>
        <v>0</v>
      </c>
      <c r="K26" s="28"/>
      <c r="L26" s="35">
        <v>0</v>
      </c>
      <c r="M26" s="28">
        <f t="shared" si="7"/>
        <v>0</v>
      </c>
      <c r="N26" s="28"/>
    </row>
    <row r="27" spans="1:14" s="30" customFormat="1" outlineLevel="1" x14ac:dyDescent="0.2">
      <c r="A27" s="14" t="s">
        <v>28</v>
      </c>
      <c r="B27" s="15" t="s">
        <v>29</v>
      </c>
      <c r="C27" s="28">
        <v>0</v>
      </c>
      <c r="D27" s="28">
        <v>8636640.8000000007</v>
      </c>
      <c r="E27" s="28"/>
      <c r="F27" s="35">
        <f>19915929-371999.8</f>
        <v>19543929.199999999</v>
      </c>
      <c r="G27" s="28">
        <f t="shared" si="3"/>
        <v>10907288.399999999</v>
      </c>
      <c r="H27" s="28">
        <f t="shared" si="1"/>
        <v>226.2908653095773</v>
      </c>
      <c r="I27" s="35">
        <f>20109220.5-82652.1</f>
        <v>20026568.399999999</v>
      </c>
      <c r="J27" s="28">
        <f t="shared" si="6"/>
        <v>482639.19999999925</v>
      </c>
      <c r="K27" s="28">
        <f t="shared" si="2"/>
        <v>102.46950956003258</v>
      </c>
      <c r="L27" s="35">
        <v>20267976.199999999</v>
      </c>
      <c r="M27" s="28">
        <f t="shared" si="7"/>
        <v>241407.80000000075</v>
      </c>
      <c r="N27" s="28">
        <f t="shared" si="5"/>
        <v>101.20543767248711</v>
      </c>
    </row>
    <row r="28" spans="1:14" s="30" customFormat="1" outlineLevel="1" x14ac:dyDescent="0.2">
      <c r="A28" s="14"/>
      <c r="B28" s="15" t="s">
        <v>50</v>
      </c>
      <c r="C28" s="28">
        <v>602016.49999999814</v>
      </c>
      <c r="D28" s="28">
        <v>894331.5</v>
      </c>
      <c r="E28" s="28">
        <f>D28/C28*100</f>
        <v>148.55597811687932</v>
      </c>
      <c r="F28" s="35">
        <v>404711</v>
      </c>
      <c r="G28" s="28">
        <f t="shared" si="3"/>
        <v>-489620.5</v>
      </c>
      <c r="H28" s="28">
        <f t="shared" si="1"/>
        <v>45.252906780092168</v>
      </c>
      <c r="I28" s="35">
        <v>220693.4</v>
      </c>
      <c r="J28" s="28">
        <f t="shared" si="6"/>
        <v>-184017.6</v>
      </c>
      <c r="K28" s="28">
        <f t="shared" si="2"/>
        <v>54.531109853698069</v>
      </c>
      <c r="L28" s="35">
        <v>216112.9</v>
      </c>
      <c r="M28" s="28">
        <f t="shared" si="7"/>
        <v>-4580.5</v>
      </c>
      <c r="N28" s="28">
        <f t="shared" si="5"/>
        <v>97.924496156205848</v>
      </c>
    </row>
    <row r="29" spans="1:14" s="29" customFormat="1" x14ac:dyDescent="0.2">
      <c r="A29" s="31"/>
      <c r="B29" s="17" t="s">
        <v>32</v>
      </c>
      <c r="C29" s="37"/>
      <c r="D29" s="36"/>
      <c r="E29" s="32"/>
      <c r="F29" s="38"/>
      <c r="G29" s="32"/>
      <c r="H29" s="27"/>
      <c r="I29" s="34">
        <v>5922209</v>
      </c>
      <c r="J29" s="33"/>
      <c r="K29" s="27"/>
      <c r="L29" s="34">
        <v>12137674.699999999</v>
      </c>
      <c r="M29" s="33"/>
      <c r="N29" s="33"/>
    </row>
    <row r="30" spans="1:14" x14ac:dyDescent="0.2">
      <c r="C30" s="18"/>
      <c r="D30" s="19"/>
      <c r="E30" s="19"/>
      <c r="F30" s="20"/>
      <c r="G30" s="19"/>
      <c r="H30" s="21" t="s">
        <v>41</v>
      </c>
      <c r="I30" s="22">
        <f>I7-I29</f>
        <v>247461068.69999999</v>
      </c>
      <c r="J30" s="19"/>
      <c r="K30" s="19"/>
      <c r="L30" s="22">
        <f>L7-L29</f>
        <v>232578058.60000002</v>
      </c>
      <c r="M30" s="19"/>
      <c r="N30" s="19"/>
    </row>
    <row r="31" spans="1:14" x14ac:dyDescent="0.2">
      <c r="C31" s="18"/>
      <c r="D31" s="19" t="s">
        <v>67</v>
      </c>
      <c r="E31" s="19"/>
      <c r="F31" s="23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D32" s="24" t="s">
        <v>70</v>
      </c>
      <c r="F32" s="25">
        <f>25499155.4+250000</f>
        <v>25749155.399999999</v>
      </c>
      <c r="I32" s="25">
        <v>21989674.300000001</v>
      </c>
      <c r="L32" s="25">
        <v>17466290.399999999</v>
      </c>
    </row>
    <row r="33" spans="4:12" x14ac:dyDescent="0.2">
      <c r="D33" s="24" t="s">
        <v>58</v>
      </c>
      <c r="F33" s="26">
        <f>F32/F7*100</f>
        <v>9.7727633058200745</v>
      </c>
      <c r="I33" s="26">
        <f>I32/I7*100</f>
        <v>8.6784236511595179</v>
      </c>
      <c r="L33" s="26">
        <f>L32/L7*100</f>
        <v>7.1373794256979224</v>
      </c>
    </row>
    <row r="37" spans="4:12" x14ac:dyDescent="0.2">
      <c r="F37" s="25"/>
      <c r="I37" s="25"/>
      <c r="L37" s="25"/>
    </row>
    <row r="38" spans="4:12" x14ac:dyDescent="0.2">
      <c r="I38" s="25"/>
      <c r="L38" s="25"/>
    </row>
  </sheetData>
  <mergeCells count="7">
    <mergeCell ref="A2:N2"/>
    <mergeCell ref="A4:A5"/>
    <mergeCell ref="B4:B5"/>
    <mergeCell ref="I4:K4"/>
    <mergeCell ref="L4:N4"/>
    <mergeCell ref="F4:H4"/>
    <mergeCell ref="D4:E4"/>
  </mergeCells>
  <pageMargins left="0.78740157480314965" right="0.39370078740157483" top="0.78740157480314965" bottom="0.78740157480314965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КВРы</vt:lpstr>
      <vt:lpstr>КВРы!Область_печати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Рыженкова Елена Николаевна</dc:creator>
  <dc:description>POI HSSF rep:2.53.0.386</dc:description>
  <cp:lastModifiedBy>Рыженкова Елена Николаевна</cp:lastModifiedBy>
  <cp:lastPrinted>2024-10-09T13:12:33Z</cp:lastPrinted>
  <dcterms:created xsi:type="dcterms:W3CDTF">2021-06-11T08:53:38Z</dcterms:created>
  <dcterms:modified xsi:type="dcterms:W3CDTF">2024-10-09T13:14:03Z</dcterms:modified>
</cp:coreProperties>
</file>