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3875"/>
  </bookViews>
  <sheets>
    <sheet name="Модернизация расчет" sheetId="1" r:id="rId1"/>
  </sheets>
  <definedNames>
    <definedName name="_xlnm.Print_Area" localSheetId="0">'Модернизация расчет'!$A$1:$AZ$37</definedName>
  </definedNames>
  <calcPr calcId="145621"/>
</workbook>
</file>

<file path=xl/calcChain.xml><?xml version="1.0" encoding="utf-8"?>
<calcChain xmlns="http://schemas.openxmlformats.org/spreadsheetml/2006/main">
  <c r="BG36" i="1" l="1"/>
  <c r="BF36" i="1"/>
  <c r="BE36" i="1"/>
  <c r="BD36" i="1"/>
  <c r="BC36" i="1"/>
  <c r="BB36" i="1"/>
  <c r="BA36" i="1"/>
  <c r="AZ36" i="1"/>
  <c r="AZ37" i="1" s="1"/>
  <c r="AY36" i="1"/>
  <c r="AR36" i="1"/>
  <c r="AP36" i="1"/>
  <c r="AE36" i="1"/>
  <c r="AD36" i="1"/>
  <c r="AD37" i="1" s="1"/>
  <c r="AC36" i="1"/>
  <c r="AB36" i="1"/>
  <c r="AB37" i="1" s="1"/>
  <c r="AA36" i="1"/>
  <c r="Z36" i="1"/>
  <c r="Y36" i="1"/>
  <c r="X36" i="1"/>
  <c r="W36" i="1"/>
  <c r="AX35" i="1"/>
  <c r="AN35" i="1" s="1"/>
  <c r="U35" i="1"/>
  <c r="T35" i="1"/>
  <c r="S35" i="1"/>
  <c r="R35" i="1"/>
  <c r="P35" i="1"/>
  <c r="O35" i="1"/>
  <c r="N35" i="1"/>
  <c r="M35" i="1"/>
  <c r="AX34" i="1"/>
  <c r="AN34" i="1" s="1"/>
  <c r="U34" i="1"/>
  <c r="T34" i="1"/>
  <c r="S34" i="1"/>
  <c r="R34" i="1"/>
  <c r="P34" i="1"/>
  <c r="O34" i="1"/>
  <c r="N34" i="1"/>
  <c r="M34" i="1"/>
  <c r="AX33" i="1"/>
  <c r="AN33" i="1"/>
  <c r="U33" i="1"/>
  <c r="T33" i="1"/>
  <c r="S33" i="1"/>
  <c r="R33" i="1"/>
  <c r="P33" i="1"/>
  <c r="O33" i="1"/>
  <c r="N33" i="1"/>
  <c r="M33" i="1"/>
  <c r="AV32" i="1"/>
  <c r="AK32" i="1" s="1"/>
  <c r="V32" i="1"/>
  <c r="T32" i="1"/>
  <c r="S32" i="1"/>
  <c r="R32" i="1"/>
  <c r="Q32" i="1"/>
  <c r="O32" i="1"/>
  <c r="N32" i="1"/>
  <c r="M32" i="1"/>
  <c r="AV31" i="1"/>
  <c r="AK31" i="1"/>
  <c r="U31" i="1" s="1"/>
  <c r="V31" i="1"/>
  <c r="Q31" i="1" s="1"/>
  <c r="T31" i="1"/>
  <c r="S31" i="1"/>
  <c r="R31" i="1"/>
  <c r="O31" i="1"/>
  <c r="N31" i="1"/>
  <c r="M31" i="1"/>
  <c r="AV30" i="1"/>
  <c r="V30" i="1"/>
  <c r="Q30" i="1" s="1"/>
  <c r="T30" i="1"/>
  <c r="S30" i="1"/>
  <c r="R30" i="1"/>
  <c r="O30" i="1"/>
  <c r="N30" i="1"/>
  <c r="M30" i="1"/>
  <c r="AT29" i="1"/>
  <c r="AH29" i="1"/>
  <c r="T29" i="1" s="1"/>
  <c r="V29" i="1"/>
  <c r="U29" i="1"/>
  <c r="S29" i="1"/>
  <c r="R29" i="1"/>
  <c r="Q29" i="1"/>
  <c r="P29" i="1"/>
  <c r="N29" i="1"/>
  <c r="M29" i="1"/>
  <c r="AT28" i="1"/>
  <c r="AH28" i="1" s="1"/>
  <c r="T28" i="1" s="1"/>
  <c r="V28" i="1"/>
  <c r="Q28" i="1" s="1"/>
  <c r="U28" i="1"/>
  <c r="S28" i="1"/>
  <c r="R28" i="1"/>
  <c r="P28" i="1"/>
  <c r="N28" i="1"/>
  <c r="M28" i="1"/>
  <c r="AT27" i="1"/>
  <c r="AH27" i="1" s="1"/>
  <c r="V27" i="1"/>
  <c r="Q27" i="1" s="1"/>
  <c r="U27" i="1"/>
  <c r="S27" i="1"/>
  <c r="R27" i="1"/>
  <c r="P27" i="1"/>
  <c r="N27" i="1"/>
  <c r="M27" i="1"/>
  <c r="AT26" i="1"/>
  <c r="V26" i="1"/>
  <c r="Q26" i="1" s="1"/>
  <c r="U26" i="1"/>
  <c r="S26" i="1"/>
  <c r="R26" i="1"/>
  <c r="P26" i="1"/>
  <c r="N26" i="1"/>
  <c r="M26" i="1"/>
  <c r="AT25" i="1"/>
  <c r="AT36" i="1" s="1"/>
  <c r="V25" i="1"/>
  <c r="Q25" i="1" s="1"/>
  <c r="U25" i="1"/>
  <c r="S25" i="1"/>
  <c r="R25" i="1"/>
  <c r="P25" i="1"/>
  <c r="N25" i="1"/>
  <c r="M25" i="1"/>
  <c r="AH24" i="1"/>
  <c r="T24" i="1" s="1"/>
  <c r="V24" i="1"/>
  <c r="U24" i="1"/>
  <c r="S24" i="1"/>
  <c r="S36" i="1" s="1"/>
  <c r="R24" i="1"/>
  <c r="P24" i="1"/>
  <c r="N24" i="1"/>
  <c r="M24" i="1"/>
  <c r="AP23" i="1"/>
  <c r="AP37" i="1" s="1"/>
  <c r="AA23" i="1"/>
  <c r="Z23" i="1"/>
  <c r="Z37" i="1" s="1"/>
  <c r="Y23" i="1"/>
  <c r="X23" i="1"/>
  <c r="W23" i="1"/>
  <c r="W37" i="1" s="1"/>
  <c r="V23" i="1"/>
  <c r="BG22" i="1"/>
  <c r="BF22" i="1"/>
  <c r="BE22" i="1"/>
  <c r="BD22" i="1"/>
  <c r="BC22" i="1"/>
  <c r="BB22" i="1"/>
  <c r="BA22" i="1"/>
  <c r="AZ22" i="1"/>
  <c r="AV22" i="1"/>
  <c r="AK22" i="1" s="1"/>
  <c r="U22" i="1" s="1"/>
  <c r="AT22" i="1"/>
  <c r="AH22" i="1" s="1"/>
  <c r="AC22" i="1"/>
  <c r="M22" i="1" s="1"/>
  <c r="S22" i="1"/>
  <c r="Q22" i="1"/>
  <c r="N22" i="1"/>
  <c r="AQ22" i="1" s="1"/>
  <c r="BG21" i="1"/>
  <c r="BF21" i="1"/>
  <c r="BE21" i="1"/>
  <c r="BD21" i="1"/>
  <c r="BC21" i="1"/>
  <c r="BB21" i="1"/>
  <c r="BA21" i="1"/>
  <c r="AZ21" i="1"/>
  <c r="AV21" i="1"/>
  <c r="AK21" i="1" s="1"/>
  <c r="AT21" i="1"/>
  <c r="AH21" i="1" s="1"/>
  <c r="T21" i="1" s="1"/>
  <c r="AQ21" i="1"/>
  <c r="AC21" i="1"/>
  <c r="R21" i="1" s="1"/>
  <c r="S21" i="1"/>
  <c r="Q21" i="1"/>
  <c r="N21" i="1"/>
  <c r="BG20" i="1"/>
  <c r="BF20" i="1"/>
  <c r="BE20" i="1"/>
  <c r="BD20" i="1"/>
  <c r="BC20" i="1"/>
  <c r="BB20" i="1"/>
  <c r="BA20" i="1"/>
  <c r="AZ20" i="1"/>
  <c r="AV20" i="1"/>
  <c r="AK20" i="1" s="1"/>
  <c r="AT20" i="1"/>
  <c r="AH20" i="1" s="1"/>
  <c r="AC20" i="1"/>
  <c r="R20" i="1" s="1"/>
  <c r="S20" i="1"/>
  <c r="Q20" i="1"/>
  <c r="N20" i="1"/>
  <c r="AQ20" i="1" s="1"/>
  <c r="BG19" i="1"/>
  <c r="BF19" i="1"/>
  <c r="BE19" i="1"/>
  <c r="BD19" i="1"/>
  <c r="BC19" i="1"/>
  <c r="BB19" i="1"/>
  <c r="BA19" i="1"/>
  <c r="AZ19" i="1"/>
  <c r="AV19" i="1"/>
  <c r="AK19" i="1" s="1"/>
  <c r="AT19" i="1"/>
  <c r="AH19" i="1" s="1"/>
  <c r="AC19" i="1"/>
  <c r="M19" i="1" s="1"/>
  <c r="S19" i="1"/>
  <c r="Q19" i="1"/>
  <c r="N19" i="1"/>
  <c r="AQ19" i="1" s="1"/>
  <c r="BG18" i="1"/>
  <c r="BF18" i="1"/>
  <c r="BE18" i="1"/>
  <c r="BD18" i="1"/>
  <c r="BC18" i="1"/>
  <c r="BB18" i="1"/>
  <c r="BA18" i="1"/>
  <c r="AZ18" i="1"/>
  <c r="AV18" i="1"/>
  <c r="AT18" i="1"/>
  <c r="AK18" i="1"/>
  <c r="U18" i="1" s="1"/>
  <c r="AC18" i="1"/>
  <c r="M18" i="1" s="1"/>
  <c r="S18" i="1"/>
  <c r="Q18" i="1"/>
  <c r="N18" i="1"/>
  <c r="AQ18" i="1" s="1"/>
  <c r="BG17" i="1"/>
  <c r="BF17" i="1"/>
  <c r="BE17" i="1"/>
  <c r="BD17" i="1"/>
  <c r="BC17" i="1"/>
  <c r="BB17" i="1"/>
  <c r="BA17" i="1"/>
  <c r="AZ17" i="1"/>
  <c r="AV17" i="1"/>
  <c r="AT17" i="1"/>
  <c r="AC17" i="1"/>
  <c r="R17" i="1" s="1"/>
  <c r="S17" i="1"/>
  <c r="Q17" i="1"/>
  <c r="N17" i="1"/>
  <c r="AQ17" i="1" s="1"/>
  <c r="BG16" i="1"/>
  <c r="BF16" i="1"/>
  <c r="BE16" i="1"/>
  <c r="BD16" i="1"/>
  <c r="BC16" i="1"/>
  <c r="BB16" i="1"/>
  <c r="BA16" i="1"/>
  <c r="AZ16" i="1"/>
  <c r="AY16" i="1" s="1"/>
  <c r="AV16" i="1"/>
  <c r="AT16" i="1"/>
  <c r="AH16" i="1" s="1"/>
  <c r="AK16" i="1"/>
  <c r="AC16" i="1"/>
  <c r="M16" i="1" s="1"/>
  <c r="S16" i="1"/>
  <c r="Q16" i="1"/>
  <c r="N16" i="1"/>
  <c r="AQ16" i="1" s="1"/>
  <c r="BG15" i="1"/>
  <c r="BF15" i="1"/>
  <c r="BE15" i="1"/>
  <c r="BD15" i="1"/>
  <c r="BC15" i="1"/>
  <c r="BB15" i="1"/>
  <c r="BA15" i="1"/>
  <c r="AZ15" i="1"/>
  <c r="AR15" i="1"/>
  <c r="AK15" i="1"/>
  <c r="AH15" i="1"/>
  <c r="T15" i="1" s="1"/>
  <c r="AC15" i="1"/>
  <c r="M15" i="1" s="1"/>
  <c r="U15" i="1"/>
  <c r="S15" i="1"/>
  <c r="Q15" i="1"/>
  <c r="P15" i="1"/>
  <c r="AU15" i="1" s="1"/>
  <c r="N15" i="1"/>
  <c r="AQ15" i="1" s="1"/>
  <c r="BG14" i="1"/>
  <c r="BF14" i="1"/>
  <c r="BE14" i="1"/>
  <c r="BD14" i="1"/>
  <c r="BC14" i="1"/>
  <c r="BB14" i="1"/>
  <c r="BA14" i="1"/>
  <c r="AZ14" i="1"/>
  <c r="AK14" i="1"/>
  <c r="P14" i="1" s="1"/>
  <c r="AU14" i="1" s="1"/>
  <c r="AH14" i="1"/>
  <c r="O14" i="1" s="1"/>
  <c r="AS14" i="1" s="1"/>
  <c r="AC14" i="1"/>
  <c r="M14" i="1" s="1"/>
  <c r="S14" i="1"/>
  <c r="R14" i="1"/>
  <c r="Q14" i="1"/>
  <c r="N14" i="1"/>
  <c r="AQ14" i="1" s="1"/>
  <c r="BG13" i="1"/>
  <c r="BF13" i="1"/>
  <c r="BE13" i="1"/>
  <c r="BD13" i="1"/>
  <c r="BC13" i="1"/>
  <c r="BB13" i="1"/>
  <c r="BA13" i="1"/>
  <c r="AZ13" i="1"/>
  <c r="AK13" i="1"/>
  <c r="U13" i="1" s="1"/>
  <c r="AH13" i="1"/>
  <c r="O13" i="1" s="1"/>
  <c r="AS13" i="1" s="1"/>
  <c r="AE13" i="1"/>
  <c r="S13" i="1" s="1"/>
  <c r="AC13" i="1"/>
  <c r="R13" i="1" s="1"/>
  <c r="T13" i="1"/>
  <c r="Q13" i="1"/>
  <c r="BG12" i="1"/>
  <c r="BF12" i="1"/>
  <c r="BE12" i="1"/>
  <c r="BD12" i="1"/>
  <c r="BC12" i="1"/>
  <c r="BB12" i="1"/>
  <c r="BA12" i="1"/>
  <c r="AZ12" i="1"/>
  <c r="AK12" i="1"/>
  <c r="U12" i="1" s="1"/>
  <c r="AH12" i="1"/>
  <c r="T12" i="1" s="1"/>
  <c r="AE12" i="1"/>
  <c r="AC12" i="1"/>
  <c r="M12" i="1" s="1"/>
  <c r="R12" i="1"/>
  <c r="Q12" i="1"/>
  <c r="O12" i="1"/>
  <c r="AS12" i="1" s="1"/>
  <c r="BG11" i="1"/>
  <c r="BF11" i="1"/>
  <c r="BE11" i="1"/>
  <c r="BD11" i="1"/>
  <c r="BC11" i="1"/>
  <c r="BB11" i="1"/>
  <c r="BA11" i="1"/>
  <c r="AZ11" i="1"/>
  <c r="AK11" i="1"/>
  <c r="P11" i="1" s="1"/>
  <c r="AU11" i="1" s="1"/>
  <c r="AH11" i="1"/>
  <c r="T11" i="1" s="1"/>
  <c r="AC11" i="1"/>
  <c r="R11" i="1" s="1"/>
  <c r="S11" i="1"/>
  <c r="Q11" i="1"/>
  <c r="O11" i="1"/>
  <c r="AS11" i="1" s="1"/>
  <c r="N11" i="1"/>
  <c r="AQ11" i="1" s="1"/>
  <c r="BG10" i="1"/>
  <c r="BG23" i="1" s="1"/>
  <c r="BF10" i="1"/>
  <c r="BF23" i="1" s="1"/>
  <c r="BF37" i="1" s="1"/>
  <c r="BE10" i="1"/>
  <c r="BE23" i="1" s="1"/>
  <c r="BD10" i="1"/>
  <c r="BD23" i="1" s="1"/>
  <c r="BC10" i="1"/>
  <c r="BC23" i="1" s="1"/>
  <c r="BB10" i="1"/>
  <c r="BB23" i="1" s="1"/>
  <c r="BB37" i="1" s="1"/>
  <c r="BA10" i="1"/>
  <c r="BA23" i="1" s="1"/>
  <c r="BA37" i="1" s="1"/>
  <c r="AZ10" i="1"/>
  <c r="AZ23" i="1" s="1"/>
  <c r="AY10" i="1"/>
  <c r="AY23" i="1" s="1"/>
  <c r="AR10" i="1"/>
  <c r="AR23" i="1" s="1"/>
  <c r="AK10" i="1"/>
  <c r="AH10" i="1"/>
  <c r="T10" i="1" s="1"/>
  <c r="AC10" i="1"/>
  <c r="M10" i="1" s="1"/>
  <c r="U10" i="1"/>
  <c r="S10" i="1"/>
  <c r="Q10" i="1"/>
  <c r="Q23" i="1" s="1"/>
  <c r="P10" i="1"/>
  <c r="N10" i="1"/>
  <c r="P32" i="1" l="1"/>
  <c r="L32" i="1" s="1"/>
  <c r="M11" i="1"/>
  <c r="AO11" i="1" s="1"/>
  <c r="AD11" i="1"/>
  <c r="AY15" i="1"/>
  <c r="AA37" i="1"/>
  <c r="T14" i="1"/>
  <c r="AJ31" i="1"/>
  <c r="M36" i="1"/>
  <c r="BC37" i="1"/>
  <c r="AY20" i="1"/>
  <c r="AY22" i="1"/>
  <c r="AH25" i="1"/>
  <c r="AY13" i="1"/>
  <c r="AY18" i="1"/>
  <c r="AY19" i="1"/>
  <c r="AY21" i="1"/>
  <c r="O24" i="1"/>
  <c r="AG24" i="1" s="1"/>
  <c r="P31" i="1"/>
  <c r="AU31" i="1" s="1"/>
  <c r="X37" i="1"/>
  <c r="AY11" i="1"/>
  <c r="P12" i="1"/>
  <c r="AU12" i="1" s="1"/>
  <c r="AY12" i="1"/>
  <c r="P13" i="1"/>
  <c r="AU13" i="1" s="1"/>
  <c r="AY17" i="1"/>
  <c r="Y37" i="1"/>
  <c r="AR37" i="1"/>
  <c r="U11" i="1"/>
  <c r="AY14" i="1"/>
  <c r="AD15" i="1"/>
  <c r="R36" i="1"/>
  <c r="AY37" i="1"/>
  <c r="BG37" i="1"/>
  <c r="O16" i="1"/>
  <c r="AS16" i="1" s="1"/>
  <c r="T16" i="1"/>
  <c r="AO19" i="1"/>
  <c r="AO22" i="1"/>
  <c r="AN36" i="1"/>
  <c r="AN37" i="1" s="1"/>
  <c r="AO18" i="1"/>
  <c r="AO12" i="1"/>
  <c r="T22" i="1"/>
  <c r="O22" i="1"/>
  <c r="AS22" i="1" s="1"/>
  <c r="L14" i="1"/>
  <c r="AO14" i="1"/>
  <c r="AM35" i="1"/>
  <c r="V35" i="1"/>
  <c r="Q35" i="1" s="1"/>
  <c r="AW35" i="1" s="1"/>
  <c r="AO10" i="1"/>
  <c r="AO15" i="1"/>
  <c r="AO16" i="1"/>
  <c r="P19" i="1"/>
  <c r="AU19" i="1" s="1"/>
  <c r="U19" i="1"/>
  <c r="P21" i="1"/>
  <c r="AU21" i="1" s="1"/>
  <c r="U21" i="1"/>
  <c r="BD37" i="1"/>
  <c r="O20" i="1"/>
  <c r="AS20" i="1" s="1"/>
  <c r="T20" i="1"/>
  <c r="V34" i="1"/>
  <c r="Q34" i="1" s="1"/>
  <c r="AW34" i="1" s="1"/>
  <c r="L35" i="1"/>
  <c r="AG27" i="1"/>
  <c r="O27" i="1"/>
  <c r="T27" i="1"/>
  <c r="BE37" i="1"/>
  <c r="R16" i="1"/>
  <c r="O10" i="1"/>
  <c r="L10" i="1" s="1"/>
  <c r="AD10" i="1"/>
  <c r="L11" i="1"/>
  <c r="M13" i="1"/>
  <c r="O15" i="1"/>
  <c r="AS15" i="1" s="1"/>
  <c r="M17" i="1"/>
  <c r="M21" i="1"/>
  <c r="AU32" i="1"/>
  <c r="P18" i="1"/>
  <c r="AU18" i="1" s="1"/>
  <c r="AH18" i="1"/>
  <c r="R19" i="1"/>
  <c r="P22" i="1"/>
  <c r="AU22" i="1" s="1"/>
  <c r="AT23" i="1"/>
  <c r="AT37" i="1" s="1"/>
  <c r="Q24" i="1"/>
  <c r="AS24" i="1"/>
  <c r="O29" i="1"/>
  <c r="AS29" i="1" s="1"/>
  <c r="AK30" i="1"/>
  <c r="N36" i="1"/>
  <c r="AV36" i="1"/>
  <c r="N13" i="1"/>
  <c r="AQ13" i="1" s="1"/>
  <c r="S12" i="1"/>
  <c r="S23" i="1" s="1"/>
  <c r="S37" i="1" s="1"/>
  <c r="U16" i="1"/>
  <c r="M20" i="1"/>
  <c r="U20" i="1"/>
  <c r="O21" i="1"/>
  <c r="AS21" i="1" s="1"/>
  <c r="AV23" i="1"/>
  <c r="T25" i="1"/>
  <c r="O28" i="1"/>
  <c r="AG28" i="1" s="1"/>
  <c r="AX36" i="1"/>
  <c r="AX37" i="1" s="1"/>
  <c r="AH17" i="1"/>
  <c r="AH23" i="1" s="1"/>
  <c r="R18" i="1"/>
  <c r="T19" i="1"/>
  <c r="R22" i="1"/>
  <c r="AC23" i="1"/>
  <c r="AC37" i="1" s="1"/>
  <c r="R15" i="1"/>
  <c r="U14" i="1"/>
  <c r="AE23" i="1"/>
  <c r="AE37" i="1" s="1"/>
  <c r="U32" i="1"/>
  <c r="V33" i="1"/>
  <c r="Q33" i="1" s="1"/>
  <c r="AW33" i="1" s="1"/>
  <c r="R10" i="1"/>
  <c r="R23" i="1" s="1"/>
  <c r="R37" i="1" s="1"/>
  <c r="N12" i="1"/>
  <c r="AQ12" i="1" s="1"/>
  <c r="P16" i="1"/>
  <c r="AU16" i="1" s="1"/>
  <c r="AK17" i="1"/>
  <c r="AK23" i="1" s="1"/>
  <c r="P20" i="1"/>
  <c r="AU20" i="1" s="1"/>
  <c r="O25" i="1"/>
  <c r="AS25" i="1" s="1"/>
  <c r="AH26" i="1"/>
  <c r="AH36" i="1" s="1"/>
  <c r="AM33" i="1"/>
  <c r="AU10" i="1"/>
  <c r="O19" i="1"/>
  <c r="AS19" i="1" s="1"/>
  <c r="AD12" i="1" l="1"/>
  <c r="AG25" i="1"/>
  <c r="AJ22" i="1"/>
  <c r="AV37" i="1"/>
  <c r="L25" i="1"/>
  <c r="AJ16" i="1"/>
  <c r="L12" i="1"/>
  <c r="AJ20" i="1"/>
  <c r="L31" i="1"/>
  <c r="AJ18" i="1"/>
  <c r="AG19" i="1"/>
  <c r="AJ32" i="1"/>
  <c r="AS10" i="1"/>
  <c r="AM34" i="1"/>
  <c r="AG16" i="1"/>
  <c r="Q36" i="1"/>
  <c r="Q37" i="1" s="1"/>
  <c r="L24" i="1"/>
  <c r="N23" i="1"/>
  <c r="L20" i="1"/>
  <c r="AO20" i="1"/>
  <c r="L21" i="1"/>
  <c r="AO21" i="1"/>
  <c r="L16" i="1"/>
  <c r="L34" i="1"/>
  <c r="L22" i="1"/>
  <c r="AH37" i="1"/>
  <c r="AO17" i="1"/>
  <c r="P17" i="1"/>
  <c r="AU17" i="1" s="1"/>
  <c r="U17" i="1"/>
  <c r="U23" i="1" s="1"/>
  <c r="L28" i="1"/>
  <c r="AS28" i="1"/>
  <c r="V36" i="1"/>
  <c r="V37" i="1" s="1"/>
  <c r="L19" i="1"/>
  <c r="U30" i="1"/>
  <c r="U36" i="1" s="1"/>
  <c r="AK36" i="1"/>
  <c r="AK37" i="1" s="1"/>
  <c r="P30" i="1"/>
  <c r="AJ30" i="1" s="1"/>
  <c r="AO13" i="1"/>
  <c r="L13" i="1"/>
  <c r="AJ21" i="1"/>
  <c r="O26" i="1"/>
  <c r="AG26" i="1" s="1"/>
  <c r="T26" i="1"/>
  <c r="T36" i="1" s="1"/>
  <c r="T37" i="1" s="1"/>
  <c r="T17" i="1"/>
  <c r="T23" i="1" s="1"/>
  <c r="AG17" i="1"/>
  <c r="O17" i="1"/>
  <c r="AS17" i="1" s="1"/>
  <c r="N37" i="1"/>
  <c r="AG20" i="1"/>
  <c r="L15" i="1"/>
  <c r="AD13" i="1"/>
  <c r="T18" i="1"/>
  <c r="O18" i="1"/>
  <c r="AG18" i="1" s="1"/>
  <c r="AG29" i="1"/>
  <c r="AS27" i="1"/>
  <c r="L27" i="1"/>
  <c r="AJ19" i="1"/>
  <c r="M23" i="1"/>
  <c r="M37" i="1" s="1"/>
  <c r="AG22" i="1"/>
  <c r="AG21" i="1"/>
  <c r="L33" i="1"/>
  <c r="L29" i="1"/>
  <c r="AJ17" i="1" l="1"/>
  <c r="U37" i="1"/>
  <c r="P23" i="1"/>
  <c r="L17" i="1"/>
  <c r="L23" i="1" s="1"/>
  <c r="AS26" i="1"/>
  <c r="L26" i="1"/>
  <c r="L36" i="1" s="1"/>
  <c r="L37" i="1" s="1"/>
  <c r="AU30" i="1"/>
  <c r="P36" i="1"/>
  <c r="P37" i="1" s="1"/>
  <c r="L30" i="1"/>
  <c r="O36" i="1"/>
  <c r="AS18" i="1"/>
  <c r="L18" i="1"/>
  <c r="O23" i="1"/>
  <c r="O37" i="1" l="1"/>
</calcChain>
</file>

<file path=xl/sharedStrings.xml><?xml version="1.0" encoding="utf-8"?>
<sst xmlns="http://schemas.openxmlformats.org/spreadsheetml/2006/main" count="110" uniqueCount="73">
  <si>
    <t>№</t>
  </si>
  <si>
    <t>Объект капитального ремонта</t>
  </si>
  <si>
    <t>Год начала реализации мероприятия</t>
  </si>
  <si>
    <t>Год окончания реализации мероприятия</t>
  </si>
  <si>
    <t>Наименование</t>
  </si>
  <si>
    <t>Адрес</t>
  </si>
  <si>
    <t>Мощность (мест)</t>
  </si>
  <si>
    <t>всего</t>
  </si>
  <si>
    <t>федеральным бюджет</t>
  </si>
  <si>
    <t>бюджет субъекта Российской Федерации</t>
  </si>
  <si>
    <t>бюджет муниципальных образований</t>
  </si>
  <si>
    <t>ИТОГО</t>
  </si>
  <si>
    <t>сумма</t>
  </si>
  <si>
    <t>%</t>
  </si>
  <si>
    <t>Муниципальное общеобразовательное учреждение "Зимитицкая основная общеобразовательная школа"</t>
  </si>
  <si>
    <t>188425, Ленинградская область Волосовский район п.Зимитицы д.53</t>
  </si>
  <si>
    <t>Муниципальное общеобразовательное учреждение "Бегуницкая средняя общеобразовательная школа"</t>
  </si>
  <si>
    <t>188423, Ленинградская область, Волосовский район, д Бегуницы д.62</t>
  </si>
  <si>
    <t>Муниципальное общеобразовательное учреждение "Киришская средняя общеобразовательная школа №3"</t>
  </si>
  <si>
    <t>187110, Ленинградская область, г.Кириши, пр.Ленина, д.1</t>
  </si>
  <si>
    <t>Муниципальное бюджетное общеобразовательное учреждение " Средняя общеобразовательная школа №4" гороДа Пикалево имени А.П.Румянцева</t>
  </si>
  <si>
    <t>187602, Ленинградская область, Бокситогорский район, г.Пикалево, ул.Школьная, д.40</t>
  </si>
  <si>
    <t>МОБУ "Кисельнинская средняя общеобразовательная школа"</t>
  </si>
  <si>
    <t>187413 Ленинградская область, Волховский район, д.Кисельня, ул. Центральная, д.19</t>
  </si>
  <si>
    <t>МОБУ "Гостинопольская основная общеобразовательная школа"</t>
  </si>
  <si>
    <t>187440 Ленинградская область, Волховский район, д. Вындин Остров, ул. Школьная, д.2а</t>
  </si>
  <si>
    <t>МОУ "Колтушская средняя общеобразовательная школа имени ак. И.П. Павлова"</t>
  </si>
  <si>
    <t>Ленинградская обл., Всеволожский район, МО " "Колтушское сельское поселение", село Павлово, улица Быкова 4</t>
  </si>
  <si>
    <t>МОУ "Сланцевская средняя общеобразовательная школа № 6"</t>
  </si>
  <si>
    <t>Ленинградская область, Сланцевский район, г. Сланцы, проспект Молодежный,  дом 9</t>
  </si>
  <si>
    <t>МОУ "Ям-Тесовская средняя общеобразоватьельная школа"</t>
  </si>
  <si>
    <t>Ленинградская область, Лужский район, д. Ям-Тесово, ул. Центральная, д.6-б</t>
  </si>
  <si>
    <t>МОУ "Средняя общеобразовательная школа № 3"</t>
  </si>
  <si>
    <t>Ленинградская область, Лужский район, г. Луга, пр. Кирова, д.74</t>
  </si>
  <si>
    <t>МОУ "Средняя общеобразовартельная школа № 6 им. Героя Советского Союза В.П. Грицкова"</t>
  </si>
  <si>
    <t>Ленинградская область, Лужский район, г. Луга, пр. Володарского, д.44</t>
  </si>
  <si>
    <t>МОУ "Раздольская СОШ"</t>
  </si>
  <si>
    <t>Приозерский район, п. Раздолье, ул. Беговая, д.6б</t>
  </si>
  <si>
    <t>филиал МОУ "Средняя общеобразовательная школа № 2 им. Героя Советского Союза А.П. Иванова (мкр. Городок)</t>
  </si>
  <si>
    <t>Ленинградская область, Лужский район, г. Луга, мкр Городок</t>
  </si>
  <si>
    <t>Всего:</t>
  </si>
  <si>
    <t>Приложение 56 к пояснительной записке 2025 года</t>
  </si>
  <si>
    <t>Расчет объема субсидий бюджетам муниципальных образований Ленинградской области на реализацию мероприятий по модернизации школьных систем образования на 2025 год и на плановый период 2026 и 2027 годов</t>
  </si>
  <si>
    <t>План по соглашению</t>
  </si>
  <si>
    <t>Средства восстанавливаются</t>
  </si>
  <si>
    <t>% софинансирования МР</t>
  </si>
  <si>
    <t>ФБ +ОБ</t>
  </si>
  <si>
    <t>проверка консолидированного бюджета</t>
  </si>
  <si>
    <t xml:space="preserve">
Государственное бюджетное общеобразовательное учреждение Ленинградской области «Лужская санаторная школа-интернат»</t>
  </si>
  <si>
    <t>188230, Ленинградская область, город Луга, улица Большая Заречная, дом 73, литера В</t>
  </si>
  <si>
    <t>Муниципальное образовательное учреждение для детей дошкольного и младшего школьного возраста"Загорская начальная школа-детский сад"</t>
  </si>
  <si>
    <t>188222, Ленинградская область, Лужский район, поселок Приозерный, ул. Центральная, д.9а</t>
  </si>
  <si>
    <t>Муниципальное бюджетное общеобразовательное учреждение «Высокоключевая средняя общеобразовательная школа»</t>
  </si>
  <si>
    <t>188327, Ленинградская область, Гатчинский район, п. Высокоключевой, Большой проспект, д.35</t>
  </si>
  <si>
    <t>Муниципальное общеобразовательное учреждение «Оредежская средняя общеобразовательная школа им. Героя Советского Союза А.И. Семёнова»</t>
  </si>
  <si>
    <t>188220, Ленинградская область, Лужский район, п. Оредеж, ул. Некрасова, д. 22 лит.В</t>
  </si>
  <si>
    <t>Муниципальное общеобразовательное учреждение «Мшинская средняя общеобразовательная школа»</t>
  </si>
  <si>
    <t>188268, Ленинградская обл., Лужский р-н, пос. Мшинская, ул. Пролетарская, д.16</t>
  </si>
  <si>
    <t>Муниципальное общеобразовательное учреждение «Яблоницкая средняя общеобразовательная школа»</t>
  </si>
  <si>
    <t>188442, Ленинградская область, Волосовский район, пос. Курск, д. 10</t>
  </si>
  <si>
    <t>Муниципальное бюджетное общеобразовательное учреждение «Кобринская основная общеобразовательная школа»</t>
  </si>
  <si>
    <t>188355, Ленинградская область, Гатчинский район, п. Кобринское, ул. Лесная, д. 1</t>
  </si>
  <si>
    <t>Муниципальное общеобразовательное учреждение «Запорожская основная общеобразовательная школа»</t>
  </si>
  <si>
    <t>188734, Ленинградская область, Приозерский район, п.Запорожское, ул. Советская, д.9</t>
  </si>
  <si>
    <t xml:space="preserve">Муниципальное общеобразовательное учреждение «Сланцевская средняя общеобразовательная школа № 2» </t>
  </si>
  <si>
    <t>188561, Ленинградской обл.,  г. Сланцы,  ул. Ломоносова, д. 39</t>
  </si>
  <si>
    <t>Муниципальное общеобразовательное учреждение "Пчевская средняя общеобразовательная школа имени Садыка Джумабаева"</t>
  </si>
  <si>
    <t>187135, Ленинградская область Киришский район, деревня Пчева улица Советская дом 18</t>
  </si>
  <si>
    <t>Муниципальное бюджетное общеобразовательное учреждение «Коммунарская средняя общеобразовательная школа №1»</t>
  </si>
  <si>
    <t xml:space="preserve">188320, Ленинградская область, Гатчинский район, г. Коммунар, Ленинградское шоссе, д. 22 </t>
  </si>
  <si>
    <t>Муниципальное общеобразовательное учреждение "Средняя общеобразовательная школа №6"</t>
  </si>
  <si>
    <t>187553, Ленинградская область, Тихвинский муниципальный район, Тихвинское городское поселение, г. Тихвин, мкр. 1-й, д.37</t>
  </si>
  <si>
    <t>Приложение 54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</si>
</sst>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0.000000000000000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  <xf numFmtId="0" fontId="1" fillId="0" borderId="0"/>
  </cellStyleXfs>
  <cellXfs count="53">
    <xf numFmtId="0" fontId="0" fillId="0" borderId="0" xfId="0"/>
    <xf numFmtId="0" fontId="3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 wrapText="1"/>
    </xf>
    <xf numFmtId="164" fontId="3" fillId="0" borderId="1" xfId="2" applyNumberFormat="1" applyFont="1" applyFill="1" applyBorder="1" applyAlignment="1">
      <alignment vertical="center" wrapText="1"/>
    </xf>
    <xf numFmtId="9" fontId="3" fillId="0" borderId="1" xfId="2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justify" vertical="center" wrapText="1"/>
    </xf>
    <xf numFmtId="1" fontId="6" fillId="0" borderId="0" xfId="0" applyNumberFormat="1" applyFont="1" applyFill="1" applyAlignment="1">
      <alignment horizontal="right" vertical="top"/>
    </xf>
    <xf numFmtId="165" fontId="3" fillId="0" borderId="1" xfId="2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vertical="center"/>
    </xf>
    <xf numFmtId="43" fontId="7" fillId="0" borderId="1" xfId="1" applyFont="1" applyFill="1" applyBorder="1" applyAlignment="1">
      <alignment vertical="center"/>
    </xf>
    <xf numFmtId="43" fontId="3" fillId="2" borderId="1" xfId="1" applyFont="1" applyFill="1" applyBorder="1" applyAlignment="1">
      <alignment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vertical="center" wrapText="1"/>
    </xf>
    <xf numFmtId="43" fontId="8" fillId="3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justify" vertical="center" wrapText="1"/>
    </xf>
    <xf numFmtId="165" fontId="4" fillId="0" borderId="1" xfId="2" applyNumberFormat="1" applyFont="1" applyFill="1" applyBorder="1" applyAlignment="1">
      <alignment horizontal="justify" vertical="center" wrapText="1"/>
    </xf>
    <xf numFmtId="0" fontId="3" fillId="0" borderId="1" xfId="4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wrapText="1"/>
    </xf>
    <xf numFmtId="0" fontId="3" fillId="0" borderId="1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/>
    </xf>
    <xf numFmtId="0" fontId="7" fillId="0" borderId="0" xfId="0" applyFont="1"/>
    <xf numFmtId="9" fontId="7" fillId="0" borderId="1" xfId="2" applyFont="1" applyBorder="1" applyAlignment="1">
      <alignment vertical="center"/>
    </xf>
    <xf numFmtId="43" fontId="7" fillId="0" borderId="1" xfId="1" applyFont="1" applyBorder="1"/>
    <xf numFmtId="43" fontId="7" fillId="0" borderId="1" xfId="1" applyFont="1" applyBorder="1" applyAlignment="1">
      <alignment vertical="center"/>
    </xf>
    <xf numFmtId="165" fontId="7" fillId="0" borderId="1" xfId="2" applyNumberFormat="1" applyFont="1" applyBorder="1"/>
    <xf numFmtId="165" fontId="7" fillId="0" borderId="1" xfId="2" applyNumberFormat="1" applyFont="1" applyBorder="1" applyAlignment="1">
      <alignment vertical="center"/>
    </xf>
    <xf numFmtId="0" fontId="7" fillId="0" borderId="1" xfId="0" applyFont="1" applyBorder="1"/>
    <xf numFmtId="43" fontId="10" fillId="0" borderId="1" xfId="1" applyFont="1" applyBorder="1"/>
    <xf numFmtId="165" fontId="10" fillId="0" borderId="1" xfId="2" applyNumberFormat="1" applyFont="1" applyBorder="1"/>
    <xf numFmtId="43" fontId="10" fillId="0" borderId="1" xfId="0" applyNumberFormat="1" applyFont="1" applyBorder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2 2" xfId="3"/>
    <cellStyle name="Обычный 2" xfId="5"/>
    <cellStyle name="Обычный 3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37"/>
  <sheetViews>
    <sheetView tabSelected="1" view="pageBreakPreview" zoomScale="80" zoomScaleNormal="100" zoomScaleSheetLayoutView="80" workbookViewId="0">
      <selection activeCell="V51" sqref="V51"/>
    </sheetView>
  </sheetViews>
  <sheetFormatPr defaultRowHeight="15" x14ac:dyDescent="0.25"/>
  <cols>
    <col min="1" max="1" width="3.140625" style="28" bestFit="1" customWidth="1"/>
    <col min="2" max="2" width="30.5703125" style="28" customWidth="1"/>
    <col min="3" max="3" width="23" style="28" customWidth="1"/>
    <col min="4" max="6" width="5.5703125" style="28" hidden="1" customWidth="1"/>
    <col min="7" max="7" width="7.7109375" style="28" customWidth="1"/>
    <col min="8" max="8" width="5.5703125" style="28" customWidth="1"/>
    <col min="9" max="9" width="8.42578125" style="28" customWidth="1"/>
    <col min="10" max="11" width="8.85546875" style="28" customWidth="1"/>
    <col min="12" max="12" width="19.85546875" style="28" customWidth="1"/>
    <col min="13" max="13" width="17.7109375" style="28" hidden="1" customWidth="1"/>
    <col min="14" max="14" width="18.140625" style="28" hidden="1" customWidth="1"/>
    <col min="15" max="15" width="19.5703125" style="28" hidden="1" customWidth="1"/>
    <col min="16" max="16" width="19.7109375" style="28" customWidth="1"/>
    <col min="17" max="17" width="20.5703125" style="28" customWidth="1"/>
    <col min="18" max="20" width="17.85546875" style="28" hidden="1" customWidth="1"/>
    <col min="21" max="21" width="19" style="28" customWidth="1"/>
    <col min="22" max="22" width="21" style="28" customWidth="1"/>
    <col min="23" max="25" width="17.85546875" style="28" hidden="1" customWidth="1"/>
    <col min="26" max="26" width="20" style="28" customWidth="1"/>
    <col min="27" max="27" width="20.5703125" style="28" customWidth="1"/>
    <col min="28" max="28" width="8.140625" style="28" hidden="1" customWidth="1"/>
    <col min="29" max="29" width="17.85546875" style="28" hidden="1" customWidth="1"/>
    <col min="30" max="30" width="8.5703125" style="28" hidden="1" customWidth="1"/>
    <col min="31" max="31" width="17.85546875" style="28" hidden="1" customWidth="1"/>
    <col min="32" max="32" width="9.28515625" style="28" hidden="1" customWidth="1"/>
    <col min="33" max="33" width="22.5703125" style="28" hidden="1" customWidth="1"/>
    <col min="34" max="34" width="17.85546875" style="28" hidden="1" customWidth="1"/>
    <col min="35" max="35" width="9.28515625" style="28" hidden="1" customWidth="1"/>
    <col min="36" max="36" width="24.85546875" style="28" customWidth="1"/>
    <col min="37" max="37" width="18.7109375" style="28" bestFit="1" customWidth="1"/>
    <col min="38" max="38" width="8.28515625" style="28" customWidth="1"/>
    <col min="39" max="39" width="23.5703125" style="28" bestFit="1" customWidth="1"/>
    <col min="40" max="40" width="19.5703125" style="28" customWidth="1"/>
    <col min="41" max="41" width="25.5703125" style="28" hidden="1" customWidth="1"/>
    <col min="42" max="42" width="16.5703125" style="28" hidden="1" customWidth="1"/>
    <col min="43" max="43" width="25.5703125" style="28" hidden="1" customWidth="1"/>
    <col min="44" max="44" width="16.5703125" style="28" hidden="1" customWidth="1"/>
    <col min="45" max="45" width="25.5703125" style="28" hidden="1" customWidth="1"/>
    <col min="46" max="46" width="0.28515625" style="28" customWidth="1"/>
    <col min="47" max="47" width="25.7109375" style="28" bestFit="1" customWidth="1"/>
    <col min="48" max="48" width="17.5703125" style="28" bestFit="1" customWidth="1"/>
    <col min="49" max="49" width="24.5703125" style="28" bestFit="1" customWidth="1"/>
    <col min="50" max="50" width="19.140625" style="28" customWidth="1"/>
    <col min="51" max="51" width="16.28515625" style="28" hidden="1" customWidth="1"/>
    <col min="52" max="53" width="17.85546875" style="28" hidden="1" customWidth="1"/>
    <col min="54" max="55" width="9.140625" style="28" hidden="1" customWidth="1"/>
    <col min="56" max="57" width="17.85546875" style="28" hidden="1" customWidth="1"/>
    <col min="58" max="59" width="9.140625" style="28" hidden="1" customWidth="1"/>
    <col min="60" max="16384" width="9.140625" style="28"/>
  </cols>
  <sheetData>
    <row r="1" spans="1:59" x14ac:dyDescent="0.25">
      <c r="W1" s="7" t="s">
        <v>41</v>
      </c>
      <c r="AX1" s="7" t="s">
        <v>72</v>
      </c>
    </row>
    <row r="3" spans="1:59" ht="39" customHeight="1" x14ac:dyDescent="0.25">
      <c r="B3" s="41" t="s">
        <v>42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</row>
    <row r="4" spans="1:59" ht="18.75" x14ac:dyDescent="0.25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59" x14ac:dyDescent="0.25">
      <c r="A5" s="43" t="s">
        <v>0</v>
      </c>
      <c r="B5" s="42" t="s">
        <v>1</v>
      </c>
      <c r="C5" s="42"/>
      <c r="D5" s="42"/>
      <c r="E5" s="42"/>
      <c r="F5" s="42"/>
      <c r="G5" s="42"/>
      <c r="H5" s="42"/>
      <c r="I5" s="42"/>
      <c r="J5" s="42" t="s">
        <v>2</v>
      </c>
      <c r="K5" s="42" t="s">
        <v>3</v>
      </c>
      <c r="L5" s="44" t="s">
        <v>43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6"/>
      <c r="AY5" s="42" t="s">
        <v>44</v>
      </c>
      <c r="AZ5" s="42"/>
      <c r="BA5" s="42"/>
      <c r="BB5" s="42"/>
      <c r="BC5" s="42"/>
      <c r="BD5" s="42"/>
      <c r="BE5" s="42"/>
      <c r="BF5" s="42"/>
      <c r="BG5" s="42"/>
    </row>
    <row r="6" spans="1:59" x14ac:dyDescent="0.25">
      <c r="A6" s="43"/>
      <c r="B6" s="42" t="s">
        <v>4</v>
      </c>
      <c r="C6" s="42" t="s">
        <v>5</v>
      </c>
      <c r="D6" s="44" t="s">
        <v>45</v>
      </c>
      <c r="E6" s="45"/>
      <c r="F6" s="45"/>
      <c r="G6" s="45"/>
      <c r="H6" s="46"/>
      <c r="I6" s="42" t="s">
        <v>6</v>
      </c>
      <c r="J6" s="42"/>
      <c r="K6" s="42"/>
      <c r="L6" s="47" t="s">
        <v>7</v>
      </c>
      <c r="M6" s="48"/>
      <c r="N6" s="48"/>
      <c r="O6" s="48"/>
      <c r="P6" s="48"/>
      <c r="Q6" s="49"/>
      <c r="R6" s="44" t="s">
        <v>46</v>
      </c>
      <c r="S6" s="45"/>
      <c r="T6" s="45"/>
      <c r="U6" s="45"/>
      <c r="V6" s="46"/>
      <c r="W6" s="44" t="s">
        <v>8</v>
      </c>
      <c r="X6" s="45"/>
      <c r="Y6" s="45"/>
      <c r="Z6" s="45"/>
      <c r="AA6" s="46"/>
      <c r="AB6" s="44" t="s">
        <v>9</v>
      </c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6"/>
      <c r="AO6" s="44" t="s">
        <v>10</v>
      </c>
      <c r="AP6" s="45"/>
      <c r="AQ6" s="45"/>
      <c r="AR6" s="45"/>
      <c r="AS6" s="45"/>
      <c r="AT6" s="45"/>
      <c r="AU6" s="45"/>
      <c r="AV6" s="45"/>
      <c r="AW6" s="45"/>
      <c r="AX6" s="46"/>
      <c r="AY6" s="42" t="s">
        <v>7</v>
      </c>
      <c r="AZ6" s="42"/>
      <c r="BA6" s="42"/>
      <c r="BB6" s="42"/>
      <c r="BC6" s="42"/>
      <c r="BD6" s="42" t="s">
        <v>46</v>
      </c>
      <c r="BE6" s="42"/>
      <c r="BF6" s="42"/>
      <c r="BG6" s="42"/>
    </row>
    <row r="7" spans="1:59" x14ac:dyDescent="0.25">
      <c r="A7" s="43"/>
      <c r="B7" s="42"/>
      <c r="C7" s="42"/>
      <c r="D7" s="42">
        <v>2022</v>
      </c>
      <c r="E7" s="42">
        <v>2023</v>
      </c>
      <c r="F7" s="42">
        <v>2024</v>
      </c>
      <c r="G7" s="42">
        <v>2025</v>
      </c>
      <c r="H7" s="42">
        <v>2026</v>
      </c>
      <c r="I7" s="42"/>
      <c r="J7" s="42"/>
      <c r="K7" s="42"/>
      <c r="L7" s="50"/>
      <c r="M7" s="51"/>
      <c r="N7" s="51"/>
      <c r="O7" s="51"/>
      <c r="P7" s="51"/>
      <c r="Q7" s="52"/>
      <c r="R7" s="38">
        <v>2022</v>
      </c>
      <c r="S7" s="38">
        <v>2023</v>
      </c>
      <c r="T7" s="38">
        <v>2024</v>
      </c>
      <c r="U7" s="38">
        <v>2025</v>
      </c>
      <c r="V7" s="38">
        <v>2026</v>
      </c>
      <c r="W7" s="38">
        <v>2022</v>
      </c>
      <c r="X7" s="38">
        <v>2023</v>
      </c>
      <c r="Y7" s="38">
        <v>2024</v>
      </c>
      <c r="Z7" s="38">
        <v>2025</v>
      </c>
      <c r="AA7" s="38">
        <v>2026</v>
      </c>
      <c r="AB7" s="42">
        <v>2022</v>
      </c>
      <c r="AC7" s="42"/>
      <c r="AD7" s="42">
        <v>2023</v>
      </c>
      <c r="AE7" s="42"/>
      <c r="AF7" s="42">
        <v>2024</v>
      </c>
      <c r="AG7" s="42"/>
      <c r="AH7" s="42"/>
      <c r="AI7" s="42">
        <v>2025</v>
      </c>
      <c r="AJ7" s="42"/>
      <c r="AK7" s="42"/>
      <c r="AL7" s="42">
        <v>2026</v>
      </c>
      <c r="AM7" s="42"/>
      <c r="AN7" s="42"/>
      <c r="AO7" s="42">
        <v>2022</v>
      </c>
      <c r="AP7" s="42"/>
      <c r="AQ7" s="42">
        <v>2023</v>
      </c>
      <c r="AR7" s="42"/>
      <c r="AS7" s="42">
        <v>2024</v>
      </c>
      <c r="AT7" s="42"/>
      <c r="AU7" s="42">
        <v>2025</v>
      </c>
      <c r="AV7" s="42"/>
      <c r="AW7" s="42">
        <v>2026</v>
      </c>
      <c r="AX7" s="42"/>
      <c r="AY7" s="42"/>
      <c r="AZ7" s="42"/>
      <c r="BA7" s="42"/>
      <c r="BB7" s="42"/>
      <c r="BC7" s="42"/>
      <c r="BD7" s="38">
        <v>2022</v>
      </c>
      <c r="BE7" s="38">
        <v>2023</v>
      </c>
      <c r="BF7" s="38">
        <v>2024</v>
      </c>
      <c r="BG7" s="38">
        <v>2025</v>
      </c>
    </row>
    <row r="8" spans="1:59" ht="71.25" x14ac:dyDescent="0.25">
      <c r="A8" s="43"/>
      <c r="B8" s="42"/>
      <c r="C8" s="42"/>
      <c r="D8" s="42"/>
      <c r="E8" s="42"/>
      <c r="F8" s="42"/>
      <c r="G8" s="42"/>
      <c r="H8" s="42"/>
      <c r="I8" s="42"/>
      <c r="J8" s="42"/>
      <c r="K8" s="42"/>
      <c r="L8" s="38" t="s">
        <v>11</v>
      </c>
      <c r="M8" s="38">
        <v>2022</v>
      </c>
      <c r="N8" s="38">
        <v>2023</v>
      </c>
      <c r="O8" s="38">
        <v>2024</v>
      </c>
      <c r="P8" s="38">
        <v>2025</v>
      </c>
      <c r="Q8" s="38">
        <v>2026</v>
      </c>
      <c r="R8" s="38" t="s">
        <v>12</v>
      </c>
      <c r="S8" s="38" t="s">
        <v>12</v>
      </c>
      <c r="T8" s="38" t="s">
        <v>12</v>
      </c>
      <c r="U8" s="38" t="s">
        <v>12</v>
      </c>
      <c r="V8" s="38" t="s">
        <v>12</v>
      </c>
      <c r="W8" s="38" t="s">
        <v>12</v>
      </c>
      <c r="X8" s="38" t="s">
        <v>12</v>
      </c>
      <c r="Y8" s="38" t="s">
        <v>12</v>
      </c>
      <c r="Z8" s="38" t="s">
        <v>12</v>
      </c>
      <c r="AA8" s="38" t="s">
        <v>12</v>
      </c>
      <c r="AB8" s="38" t="s">
        <v>13</v>
      </c>
      <c r="AC8" s="38" t="s">
        <v>12</v>
      </c>
      <c r="AD8" s="38" t="s">
        <v>13</v>
      </c>
      <c r="AE8" s="38" t="s">
        <v>12</v>
      </c>
      <c r="AF8" s="38" t="s">
        <v>13</v>
      </c>
      <c r="AG8" s="38" t="s">
        <v>47</v>
      </c>
      <c r="AH8" s="38" t="s">
        <v>12</v>
      </c>
      <c r="AI8" s="38" t="s">
        <v>13</v>
      </c>
      <c r="AJ8" s="38" t="s">
        <v>47</v>
      </c>
      <c r="AK8" s="38" t="s">
        <v>12</v>
      </c>
      <c r="AL8" s="38" t="s">
        <v>13</v>
      </c>
      <c r="AM8" s="38" t="s">
        <v>47</v>
      </c>
      <c r="AN8" s="38" t="s">
        <v>12</v>
      </c>
      <c r="AO8" s="38" t="s">
        <v>13</v>
      </c>
      <c r="AP8" s="38" t="s">
        <v>12</v>
      </c>
      <c r="AQ8" s="38" t="s">
        <v>13</v>
      </c>
      <c r="AR8" s="38" t="s">
        <v>12</v>
      </c>
      <c r="AS8" s="38" t="s">
        <v>13</v>
      </c>
      <c r="AT8" s="38" t="s">
        <v>12</v>
      </c>
      <c r="AU8" s="38" t="s">
        <v>13</v>
      </c>
      <c r="AV8" s="38" t="s">
        <v>12</v>
      </c>
      <c r="AW8" s="38" t="s">
        <v>13</v>
      </c>
      <c r="AX8" s="38" t="s">
        <v>12</v>
      </c>
      <c r="AY8" s="38" t="s">
        <v>11</v>
      </c>
      <c r="AZ8" s="38">
        <v>2022</v>
      </c>
      <c r="BA8" s="38">
        <v>2023</v>
      </c>
      <c r="BB8" s="38">
        <v>2024</v>
      </c>
      <c r="BC8" s="38">
        <v>2025</v>
      </c>
      <c r="BD8" s="38" t="s">
        <v>12</v>
      </c>
      <c r="BE8" s="38" t="s">
        <v>12</v>
      </c>
      <c r="BF8" s="38" t="s">
        <v>12</v>
      </c>
      <c r="BG8" s="38" t="s">
        <v>12</v>
      </c>
    </row>
    <row r="9" spans="1:59" x14ac:dyDescent="0.25">
      <c r="A9" s="40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</row>
    <row r="10" spans="1:59" ht="75" x14ac:dyDescent="0.25">
      <c r="A10" s="40">
        <v>1</v>
      </c>
      <c r="B10" s="1" t="s">
        <v>14</v>
      </c>
      <c r="C10" s="1" t="s">
        <v>15</v>
      </c>
      <c r="D10" s="5">
        <v>0.1</v>
      </c>
      <c r="E10" s="5">
        <v>0.1</v>
      </c>
      <c r="F10" s="5">
        <v>0.1</v>
      </c>
      <c r="G10" s="5">
        <v>0.11</v>
      </c>
      <c r="H10" s="5"/>
      <c r="I10" s="40">
        <v>127</v>
      </c>
      <c r="J10" s="40">
        <v>2022</v>
      </c>
      <c r="K10" s="40">
        <v>2023</v>
      </c>
      <c r="L10" s="2">
        <f>M10+N10+O10+P10+Q10</f>
        <v>88269411.780000001</v>
      </c>
      <c r="M10" s="3">
        <f>W10+AC10+AP10</f>
        <v>61139803.930000007</v>
      </c>
      <c r="N10" s="3">
        <f>X10+AE10+AR10</f>
        <v>27129607.850000001</v>
      </c>
      <c r="O10" s="3">
        <f>Y10+AH10+AT10</f>
        <v>0</v>
      </c>
      <c r="P10" s="3">
        <f t="shared" ref="P10:P22" si="0">Z10+AK10+AV10</f>
        <v>0</v>
      </c>
      <c r="Q10" s="3">
        <f t="shared" ref="Q10:Q22" si="1">V10+AX10</f>
        <v>0</v>
      </c>
      <c r="R10" s="3">
        <f>W10+AC10</f>
        <v>55025823.540000007</v>
      </c>
      <c r="S10" s="3">
        <f>X10+AE10</f>
        <v>24416647.07</v>
      </c>
      <c r="T10" s="3">
        <f>Y10+AH10</f>
        <v>0</v>
      </c>
      <c r="U10" s="3">
        <f t="shared" ref="U10:U22" si="2">Z10+AK10</f>
        <v>0</v>
      </c>
      <c r="V10" s="3"/>
      <c r="W10" s="3">
        <v>31181300</v>
      </c>
      <c r="X10" s="3">
        <v>13836100</v>
      </c>
      <c r="Y10" s="3"/>
      <c r="Z10" s="3"/>
      <c r="AA10" s="3"/>
      <c r="AB10" s="4">
        <v>0.49</v>
      </c>
      <c r="AC10" s="3">
        <f>ROUND(W10/(1-AB10)*AB10-AP10,2)+0.01</f>
        <v>23844523.540000003</v>
      </c>
      <c r="AD10" s="4">
        <f>(AE10+AR10)/N10</f>
        <v>0.49000000012901029</v>
      </c>
      <c r="AE10" s="3">
        <v>10580547.07</v>
      </c>
      <c r="AF10" s="4"/>
      <c r="AG10" s="8"/>
      <c r="AH10" s="3">
        <f>ROUND(Y10/(1-AF10)*AF10-AT10,2)</f>
        <v>0</v>
      </c>
      <c r="AI10" s="4"/>
      <c r="AJ10" s="8"/>
      <c r="AK10" s="3">
        <f>ROUND(Z10/(1-AI10)*AI10-AV10,2)</f>
        <v>0</v>
      </c>
      <c r="AL10" s="4"/>
      <c r="AM10" s="8"/>
      <c r="AN10" s="3"/>
      <c r="AO10" s="8">
        <f>IF(M10=0,0,AP10/M10)</f>
        <v>9.9999999950932117E-2</v>
      </c>
      <c r="AP10" s="3">
        <v>6113980.3899999997</v>
      </c>
      <c r="AQ10" s="8">
        <v>9.9999999950932145E-2</v>
      </c>
      <c r="AR10" s="3">
        <f>2712960.78</f>
        <v>2712960.78</v>
      </c>
      <c r="AS10" s="8">
        <f>IF(O10=0,0,AT10/O10)</f>
        <v>0</v>
      </c>
      <c r="AT10" s="3">
        <v>0</v>
      </c>
      <c r="AU10" s="9">
        <f>IF(P10=0,0,AV10/P10)</f>
        <v>0</v>
      </c>
      <c r="AV10" s="3">
        <v>0</v>
      </c>
      <c r="AW10" s="8"/>
      <c r="AX10" s="3"/>
      <c r="AY10" s="10" t="e">
        <f>AZ10+BA10+BB10+BC10</f>
        <v>#REF!</v>
      </c>
      <c r="AZ10" s="10" t="e">
        <f>#REF!+#REF!+#REF!</f>
        <v>#REF!</v>
      </c>
      <c r="BA10" s="10" t="e">
        <f>#REF!+#REF!+#REF!</f>
        <v>#REF!</v>
      </c>
      <c r="BB10" s="10" t="e">
        <f>#REF!+#REF!+#REF!</f>
        <v>#REF!</v>
      </c>
      <c r="BC10" s="10" t="e">
        <f>#REF!+#REF!+#REF!</f>
        <v>#REF!</v>
      </c>
      <c r="BD10" s="10" t="e">
        <f>#REF!+#REF!</f>
        <v>#REF!</v>
      </c>
      <c r="BE10" s="10" t="e">
        <f>#REF!+#REF!</f>
        <v>#REF!</v>
      </c>
      <c r="BF10" s="10" t="e">
        <f>#REF!+#REF!</f>
        <v>#REF!</v>
      </c>
      <c r="BG10" s="10" t="e">
        <f>#REF!+#REF!</f>
        <v>#REF!</v>
      </c>
    </row>
    <row r="11" spans="1:59" ht="75" x14ac:dyDescent="0.25">
      <c r="A11" s="40">
        <v>2</v>
      </c>
      <c r="B11" s="1" t="s">
        <v>16</v>
      </c>
      <c r="C11" s="1" t="s">
        <v>17</v>
      </c>
      <c r="D11" s="5">
        <v>0.1</v>
      </c>
      <c r="E11" s="5">
        <v>0.1</v>
      </c>
      <c r="F11" s="5">
        <v>0.1</v>
      </c>
      <c r="G11" s="5">
        <v>0.11</v>
      </c>
      <c r="H11" s="5"/>
      <c r="I11" s="40">
        <v>455</v>
      </c>
      <c r="J11" s="40">
        <v>2022</v>
      </c>
      <c r="K11" s="40">
        <v>2023</v>
      </c>
      <c r="L11" s="2">
        <f t="shared" ref="L11:L35" si="3">M11+N11+O11+P11+Q11</f>
        <v>113161372.56</v>
      </c>
      <c r="M11" s="3">
        <f t="shared" ref="M11:M22" si="4">W11+AC11+AP11</f>
        <v>78975294.120000005</v>
      </c>
      <c r="N11" s="3">
        <f t="shared" ref="N11:N22" si="5">X11+AE11+AR11</f>
        <v>34186078.439999998</v>
      </c>
      <c r="O11" s="3">
        <f t="shared" ref="O11:O22" si="6">Y11+AH11+AT11</f>
        <v>0</v>
      </c>
      <c r="P11" s="3">
        <f t="shared" si="0"/>
        <v>0</v>
      </c>
      <c r="Q11" s="3">
        <f t="shared" si="1"/>
        <v>0</v>
      </c>
      <c r="R11" s="3">
        <f t="shared" ref="R11:R22" si="7">W11+AC11</f>
        <v>71077764.710000008</v>
      </c>
      <c r="S11" s="3">
        <f t="shared" ref="S11:S22" si="8">X11+AE11</f>
        <v>30767470.59</v>
      </c>
      <c r="T11" s="3">
        <f t="shared" ref="T11:T22" si="9">Y11+AH11</f>
        <v>0</v>
      </c>
      <c r="U11" s="3">
        <f t="shared" si="2"/>
        <v>0</v>
      </c>
      <c r="V11" s="3"/>
      <c r="W11" s="3">
        <v>40277400</v>
      </c>
      <c r="X11" s="3">
        <v>17434900</v>
      </c>
      <c r="Y11" s="3"/>
      <c r="Z11" s="3"/>
      <c r="AA11" s="3"/>
      <c r="AB11" s="4">
        <v>0.49</v>
      </c>
      <c r="AC11" s="3">
        <f t="shared" ref="AC11:AC22" si="10">ROUND(W11/(1-AB11)*AB11-AP11,2)</f>
        <v>30800364.710000001</v>
      </c>
      <c r="AD11" s="4">
        <f t="shared" ref="AD11:AD15" si="11">(AE11+AR11)/N11</f>
        <v>0.49000000012870737</v>
      </c>
      <c r="AE11" s="3">
        <v>13332570.59</v>
      </c>
      <c r="AF11" s="4"/>
      <c r="AG11" s="8"/>
      <c r="AH11" s="3">
        <f t="shared" ref="AH11:AH15" si="12">ROUND(Y11/(1-AF11)*AF11-AT11,2)</f>
        <v>0</v>
      </c>
      <c r="AI11" s="4"/>
      <c r="AJ11" s="8"/>
      <c r="AK11" s="3">
        <f t="shared" ref="AK11:AK15" si="13">ROUND(Z11/(1-AI11)*AI11-AV11,2)</f>
        <v>0</v>
      </c>
      <c r="AL11" s="4"/>
      <c r="AM11" s="8"/>
      <c r="AN11" s="3"/>
      <c r="AO11" s="8">
        <f t="shared" ref="AO11:AO22" si="14">IF(M11=0,0,AP11/M11)</f>
        <v>9.9999999974675624E-2</v>
      </c>
      <c r="AP11" s="3">
        <v>7897529.4100000001</v>
      </c>
      <c r="AQ11" s="8">
        <f>IF(N11=0,0,AR11/N11)</f>
        <v>0.10000000017551004</v>
      </c>
      <c r="AR11" s="3">
        <v>3418607.8499999996</v>
      </c>
      <c r="AS11" s="8">
        <f>IF(O11=0,0,AT11/O11)</f>
        <v>0</v>
      </c>
      <c r="AT11" s="3">
        <v>0</v>
      </c>
      <c r="AU11" s="9">
        <f t="shared" ref="AU11:AU22" si="15">IF(P11=0,0,AV11/P11)</f>
        <v>0</v>
      </c>
      <c r="AV11" s="3">
        <v>0</v>
      </c>
      <c r="AW11" s="8"/>
      <c r="AX11" s="3"/>
      <c r="AY11" s="10" t="e">
        <f t="shared" ref="AY11:AY22" si="16">AZ11+BA11+BB11+BC11</f>
        <v>#REF!</v>
      </c>
      <c r="AZ11" s="10" t="e">
        <f>#REF!+#REF!+#REF!</f>
        <v>#REF!</v>
      </c>
      <c r="BA11" s="10" t="e">
        <f>#REF!+#REF!+#REF!</f>
        <v>#REF!</v>
      </c>
      <c r="BB11" s="10" t="e">
        <f>#REF!+#REF!+#REF!</f>
        <v>#REF!</v>
      </c>
      <c r="BC11" s="10" t="e">
        <f>#REF!+#REF!+#REF!</f>
        <v>#REF!</v>
      </c>
      <c r="BD11" s="10" t="e">
        <f>#REF!+#REF!</f>
        <v>#REF!</v>
      </c>
      <c r="BE11" s="10" t="e">
        <f>#REF!+#REF!</f>
        <v>#REF!</v>
      </c>
      <c r="BF11" s="10" t="e">
        <f>#REF!+#REF!</f>
        <v>#REF!</v>
      </c>
      <c r="BG11" s="10" t="e">
        <f>#REF!+#REF!</f>
        <v>#REF!</v>
      </c>
    </row>
    <row r="12" spans="1:59" ht="75" x14ac:dyDescent="0.25">
      <c r="A12" s="40">
        <v>3</v>
      </c>
      <c r="B12" s="1" t="s">
        <v>18</v>
      </c>
      <c r="C12" s="1" t="s">
        <v>19</v>
      </c>
      <c r="D12" s="5">
        <v>0.13</v>
      </c>
      <c r="E12" s="5">
        <v>0.11</v>
      </c>
      <c r="F12" s="5">
        <v>0.1</v>
      </c>
      <c r="G12" s="5">
        <v>0.1</v>
      </c>
      <c r="H12" s="5"/>
      <c r="I12" s="40">
        <v>650</v>
      </c>
      <c r="J12" s="40">
        <v>2022</v>
      </c>
      <c r="K12" s="40">
        <v>2023</v>
      </c>
      <c r="L12" s="2">
        <f t="shared" si="3"/>
        <v>157288576.80000001</v>
      </c>
      <c r="M12" s="3">
        <f t="shared" si="4"/>
        <v>94491764.709999993</v>
      </c>
      <c r="N12" s="3">
        <f t="shared" si="5"/>
        <v>62796812.090000004</v>
      </c>
      <c r="O12" s="3">
        <f t="shared" si="6"/>
        <v>0</v>
      </c>
      <c r="P12" s="3">
        <f t="shared" si="0"/>
        <v>0</v>
      </c>
      <c r="Q12" s="3">
        <f t="shared" si="1"/>
        <v>0</v>
      </c>
      <c r="R12" s="3">
        <f t="shared" si="7"/>
        <v>82207835.299999997</v>
      </c>
      <c r="S12" s="3">
        <f t="shared" si="8"/>
        <v>55889162.75</v>
      </c>
      <c r="T12" s="3">
        <f t="shared" si="9"/>
        <v>0</v>
      </c>
      <c r="U12" s="3">
        <f t="shared" si="2"/>
        <v>0</v>
      </c>
      <c r="V12" s="3"/>
      <c r="W12" s="3">
        <v>48190800</v>
      </c>
      <c r="X12" s="3">
        <v>20565700</v>
      </c>
      <c r="Y12" s="3"/>
      <c r="Z12" s="3"/>
      <c r="AA12" s="3"/>
      <c r="AB12" s="4">
        <v>0.49</v>
      </c>
      <c r="AC12" s="3">
        <f t="shared" si="10"/>
        <v>34017035.299999997</v>
      </c>
      <c r="AD12" s="4">
        <f t="shared" si="11"/>
        <v>0.67250407599472783</v>
      </c>
      <c r="AE12" s="3">
        <f>15323462.75+20000000</f>
        <v>35323462.75</v>
      </c>
      <c r="AF12" s="4"/>
      <c r="AG12" s="8"/>
      <c r="AH12" s="3">
        <f t="shared" si="12"/>
        <v>0</v>
      </c>
      <c r="AI12" s="4"/>
      <c r="AJ12" s="8"/>
      <c r="AK12" s="3">
        <f t="shared" si="13"/>
        <v>0</v>
      </c>
      <c r="AL12" s="4"/>
      <c r="AM12" s="8"/>
      <c r="AN12" s="3"/>
      <c r="AO12" s="8">
        <f t="shared" si="14"/>
        <v>0.12999999997565925</v>
      </c>
      <c r="AP12" s="3">
        <v>12283929.41</v>
      </c>
      <c r="AQ12" s="8">
        <f t="shared" ref="AQ12:AQ22" si="17">IF(N12=0,0,AR12/N12)</f>
        <v>0.11000000016083623</v>
      </c>
      <c r="AR12" s="11">
        <v>6907649.3400000036</v>
      </c>
      <c r="AS12" s="8">
        <f t="shared" ref="AS12:AS29" si="18">IF(O12=0,0,AT12/O12)</f>
        <v>0</v>
      </c>
      <c r="AT12" s="3">
        <v>0</v>
      </c>
      <c r="AU12" s="9">
        <f t="shared" si="15"/>
        <v>0</v>
      </c>
      <c r="AV12" s="3">
        <v>0</v>
      </c>
      <c r="AW12" s="8"/>
      <c r="AX12" s="3"/>
      <c r="AY12" s="10" t="e">
        <f t="shared" si="16"/>
        <v>#REF!</v>
      </c>
      <c r="AZ12" s="10" t="e">
        <f>#REF!+#REF!+#REF!</f>
        <v>#REF!</v>
      </c>
      <c r="BA12" s="10" t="e">
        <f>#REF!+#REF!+#REF!</f>
        <v>#REF!</v>
      </c>
      <c r="BB12" s="10" t="e">
        <f>#REF!+#REF!+#REF!</f>
        <v>#REF!</v>
      </c>
      <c r="BC12" s="10" t="e">
        <f>#REF!+#REF!+#REF!</f>
        <v>#REF!</v>
      </c>
      <c r="BD12" s="10" t="e">
        <f>#REF!+#REF!</f>
        <v>#REF!</v>
      </c>
      <c r="BE12" s="10" t="e">
        <f>#REF!+#REF!</f>
        <v>#REF!</v>
      </c>
      <c r="BF12" s="10" t="e">
        <f>#REF!+#REF!</f>
        <v>#REF!</v>
      </c>
      <c r="BG12" s="10" t="e">
        <f>#REF!+#REF!</f>
        <v>#REF!</v>
      </c>
    </row>
    <row r="13" spans="1:59" ht="90" x14ac:dyDescent="0.25">
      <c r="A13" s="40">
        <v>4</v>
      </c>
      <c r="B13" s="1" t="s">
        <v>20</v>
      </c>
      <c r="C13" s="1" t="s">
        <v>21</v>
      </c>
      <c r="D13" s="5">
        <v>0.11</v>
      </c>
      <c r="E13" s="5">
        <v>0.11</v>
      </c>
      <c r="F13" s="5">
        <v>0.11</v>
      </c>
      <c r="G13" s="5">
        <v>0.1</v>
      </c>
      <c r="H13" s="5"/>
      <c r="I13" s="40">
        <v>670</v>
      </c>
      <c r="J13" s="40">
        <v>2022</v>
      </c>
      <c r="K13" s="40">
        <v>2023</v>
      </c>
      <c r="L13" s="2">
        <f t="shared" si="3"/>
        <v>142493282.67000002</v>
      </c>
      <c r="M13" s="3">
        <f t="shared" si="4"/>
        <v>83890588.24000001</v>
      </c>
      <c r="N13" s="3">
        <f t="shared" si="5"/>
        <v>58602694.43</v>
      </c>
      <c r="O13" s="3">
        <f t="shared" si="6"/>
        <v>0</v>
      </c>
      <c r="P13" s="3">
        <f t="shared" si="0"/>
        <v>0</v>
      </c>
      <c r="Q13" s="3">
        <f t="shared" si="1"/>
        <v>0</v>
      </c>
      <c r="R13" s="3">
        <f t="shared" si="7"/>
        <v>74662623.530000001</v>
      </c>
      <c r="S13" s="3">
        <f t="shared" si="8"/>
        <v>52156398.039999999</v>
      </c>
      <c r="T13" s="3">
        <f t="shared" si="9"/>
        <v>0</v>
      </c>
      <c r="U13" s="3">
        <f t="shared" si="2"/>
        <v>0</v>
      </c>
      <c r="V13" s="3"/>
      <c r="W13" s="3">
        <v>42784200</v>
      </c>
      <c r="X13" s="3">
        <v>18426700</v>
      </c>
      <c r="Y13" s="3"/>
      <c r="Z13" s="3"/>
      <c r="AA13" s="3"/>
      <c r="AB13" s="4">
        <v>0.49</v>
      </c>
      <c r="AC13" s="3">
        <f t="shared" si="10"/>
        <v>31878423.530000001</v>
      </c>
      <c r="AD13" s="4">
        <f t="shared" si="11"/>
        <v>0.68556565224129062</v>
      </c>
      <c r="AE13" s="3">
        <f>13729698.04+20000000</f>
        <v>33729698.039999999</v>
      </c>
      <c r="AF13" s="4"/>
      <c r="AG13" s="8"/>
      <c r="AH13" s="3">
        <f t="shared" si="12"/>
        <v>0</v>
      </c>
      <c r="AI13" s="4"/>
      <c r="AJ13" s="8"/>
      <c r="AK13" s="3">
        <f t="shared" si="13"/>
        <v>0</v>
      </c>
      <c r="AL13" s="4"/>
      <c r="AM13" s="8"/>
      <c r="AN13" s="3"/>
      <c r="AO13" s="8">
        <f t="shared" si="14"/>
        <v>0.11000000004291303</v>
      </c>
      <c r="AP13" s="3">
        <v>9227964.7100000009</v>
      </c>
      <c r="AQ13" s="8">
        <f t="shared" si="17"/>
        <v>0.11000000004607298</v>
      </c>
      <c r="AR13" s="3">
        <v>6446296.3900000006</v>
      </c>
      <c r="AS13" s="8">
        <f t="shared" si="18"/>
        <v>0</v>
      </c>
      <c r="AT13" s="3">
        <v>0</v>
      </c>
      <c r="AU13" s="9">
        <f t="shared" si="15"/>
        <v>0</v>
      </c>
      <c r="AV13" s="3">
        <v>0</v>
      </c>
      <c r="AW13" s="8"/>
      <c r="AX13" s="3"/>
      <c r="AY13" s="10" t="e">
        <f t="shared" si="16"/>
        <v>#REF!</v>
      </c>
      <c r="AZ13" s="10" t="e">
        <f>#REF!+#REF!+#REF!</f>
        <v>#REF!</v>
      </c>
      <c r="BA13" s="10" t="e">
        <f>#REF!+#REF!+#REF!</f>
        <v>#REF!</v>
      </c>
      <c r="BB13" s="10" t="e">
        <f>#REF!+#REF!+#REF!</f>
        <v>#REF!</v>
      </c>
      <c r="BC13" s="10" t="e">
        <f>#REF!+#REF!+#REF!</f>
        <v>#REF!</v>
      </c>
      <c r="BD13" s="10" t="e">
        <f>#REF!+#REF!</f>
        <v>#REF!</v>
      </c>
      <c r="BE13" s="10" t="e">
        <f>#REF!+#REF!</f>
        <v>#REF!</v>
      </c>
      <c r="BF13" s="10" t="e">
        <f>#REF!+#REF!</f>
        <v>#REF!</v>
      </c>
      <c r="BG13" s="10" t="e">
        <f>#REF!+#REF!</f>
        <v>#REF!</v>
      </c>
    </row>
    <row r="14" spans="1:59" ht="60" x14ac:dyDescent="0.25">
      <c r="A14" s="40">
        <v>5</v>
      </c>
      <c r="B14" s="1" t="s">
        <v>22</v>
      </c>
      <c r="C14" s="1" t="s">
        <v>23</v>
      </c>
      <c r="D14" s="5">
        <v>0.1</v>
      </c>
      <c r="E14" s="5">
        <v>0.1</v>
      </c>
      <c r="F14" s="5">
        <v>0.1</v>
      </c>
      <c r="G14" s="5">
        <v>0.1</v>
      </c>
      <c r="H14" s="5"/>
      <c r="I14" s="40">
        <v>120</v>
      </c>
      <c r="J14" s="40">
        <v>2022</v>
      </c>
      <c r="K14" s="40">
        <v>2022</v>
      </c>
      <c r="L14" s="2">
        <f t="shared" si="3"/>
        <v>101105098.04000001</v>
      </c>
      <c r="M14" s="3">
        <f t="shared" si="4"/>
        <v>101105098.04000001</v>
      </c>
      <c r="N14" s="3">
        <f t="shared" si="5"/>
        <v>0</v>
      </c>
      <c r="O14" s="3">
        <f t="shared" si="6"/>
        <v>0</v>
      </c>
      <c r="P14" s="3">
        <f t="shared" si="0"/>
        <v>0</v>
      </c>
      <c r="Q14" s="3">
        <f t="shared" si="1"/>
        <v>0</v>
      </c>
      <c r="R14" s="3">
        <f t="shared" si="7"/>
        <v>90994588.24000001</v>
      </c>
      <c r="S14" s="3">
        <f t="shared" si="8"/>
        <v>0</v>
      </c>
      <c r="T14" s="3">
        <f t="shared" si="9"/>
        <v>0</v>
      </c>
      <c r="U14" s="3">
        <f t="shared" si="2"/>
        <v>0</v>
      </c>
      <c r="V14" s="3"/>
      <c r="W14" s="3">
        <v>51563600</v>
      </c>
      <c r="X14" s="6">
        <v>0</v>
      </c>
      <c r="Y14" s="6"/>
      <c r="Z14" s="6"/>
      <c r="AA14" s="6"/>
      <c r="AB14" s="4">
        <v>0.49</v>
      </c>
      <c r="AC14" s="3">
        <f t="shared" si="10"/>
        <v>39430988.240000002</v>
      </c>
      <c r="AD14" s="4"/>
      <c r="AE14" s="3">
        <v>0</v>
      </c>
      <c r="AF14" s="12"/>
      <c r="AG14" s="13"/>
      <c r="AH14" s="3">
        <f t="shared" si="12"/>
        <v>0</v>
      </c>
      <c r="AI14" s="12"/>
      <c r="AJ14" s="13"/>
      <c r="AK14" s="3">
        <f t="shared" si="13"/>
        <v>0</v>
      </c>
      <c r="AL14" s="4"/>
      <c r="AM14" s="8"/>
      <c r="AN14" s="3"/>
      <c r="AO14" s="8">
        <f t="shared" si="14"/>
        <v>9.9999999960437208E-2</v>
      </c>
      <c r="AP14" s="3">
        <v>10110509.800000001</v>
      </c>
      <c r="AQ14" s="8">
        <f t="shared" si="17"/>
        <v>0</v>
      </c>
      <c r="AR14" s="3">
        <v>0</v>
      </c>
      <c r="AS14" s="8">
        <f t="shared" si="18"/>
        <v>0</v>
      </c>
      <c r="AT14" s="3">
        <v>0</v>
      </c>
      <c r="AU14" s="9">
        <f t="shared" si="15"/>
        <v>0</v>
      </c>
      <c r="AV14" s="3">
        <v>0</v>
      </c>
      <c r="AW14" s="8"/>
      <c r="AX14" s="3"/>
      <c r="AY14" s="10" t="e">
        <f t="shared" si="16"/>
        <v>#REF!</v>
      </c>
      <c r="AZ14" s="10" t="e">
        <f>#REF!+#REF!+#REF!</f>
        <v>#REF!</v>
      </c>
      <c r="BA14" s="10" t="e">
        <f>#REF!+#REF!+#REF!</f>
        <v>#REF!</v>
      </c>
      <c r="BB14" s="10" t="e">
        <f>#REF!+#REF!+#REF!</f>
        <v>#REF!</v>
      </c>
      <c r="BC14" s="10" t="e">
        <f>#REF!+#REF!+#REF!</f>
        <v>#REF!</v>
      </c>
      <c r="BD14" s="10" t="e">
        <f>#REF!+#REF!</f>
        <v>#REF!</v>
      </c>
      <c r="BE14" s="10" t="e">
        <f>#REF!+#REF!</f>
        <v>#REF!</v>
      </c>
      <c r="BF14" s="10" t="e">
        <f>#REF!+#REF!</f>
        <v>#REF!</v>
      </c>
      <c r="BG14" s="10" t="e">
        <f>#REF!+#REF!</f>
        <v>#REF!</v>
      </c>
    </row>
    <row r="15" spans="1:59" ht="75" x14ac:dyDescent="0.25">
      <c r="A15" s="40">
        <v>6</v>
      </c>
      <c r="B15" s="1" t="s">
        <v>24</v>
      </c>
      <c r="C15" s="1" t="s">
        <v>25</v>
      </c>
      <c r="D15" s="5">
        <v>0.1</v>
      </c>
      <c r="E15" s="5">
        <v>0.1</v>
      </c>
      <c r="F15" s="5">
        <v>0.1</v>
      </c>
      <c r="G15" s="5">
        <v>0.1</v>
      </c>
      <c r="H15" s="5"/>
      <c r="I15" s="40">
        <v>168</v>
      </c>
      <c r="J15" s="40">
        <v>2023</v>
      </c>
      <c r="K15" s="40">
        <v>2023</v>
      </c>
      <c r="L15" s="2">
        <f t="shared" si="3"/>
        <v>96054424.849999994</v>
      </c>
      <c r="M15" s="3">
        <f t="shared" si="4"/>
        <v>0</v>
      </c>
      <c r="N15" s="3">
        <f t="shared" si="5"/>
        <v>96054424.849999994</v>
      </c>
      <c r="O15" s="3">
        <f t="shared" si="6"/>
        <v>0</v>
      </c>
      <c r="P15" s="3">
        <f t="shared" si="0"/>
        <v>0</v>
      </c>
      <c r="Q15" s="3">
        <f t="shared" si="1"/>
        <v>0</v>
      </c>
      <c r="R15" s="3">
        <f t="shared" si="7"/>
        <v>0</v>
      </c>
      <c r="S15" s="14">
        <f t="shared" si="8"/>
        <v>86448982.359999999</v>
      </c>
      <c r="T15" s="3">
        <f t="shared" si="9"/>
        <v>0</v>
      </c>
      <c r="U15" s="3">
        <f t="shared" si="2"/>
        <v>0</v>
      </c>
      <c r="V15" s="3"/>
      <c r="W15" s="3">
        <v>0</v>
      </c>
      <c r="X15" s="3">
        <v>48987700</v>
      </c>
      <c r="Y15" s="3"/>
      <c r="Z15" s="3"/>
      <c r="AA15" s="3"/>
      <c r="AB15" s="4">
        <v>0.49</v>
      </c>
      <c r="AC15" s="3">
        <f t="shared" si="10"/>
        <v>0</v>
      </c>
      <c r="AD15" s="4">
        <f t="shared" si="11"/>
        <v>0.49000059001446405</v>
      </c>
      <c r="AE15" s="3">
        <v>37461282.359999999</v>
      </c>
      <c r="AF15" s="4"/>
      <c r="AG15" s="8"/>
      <c r="AH15" s="3">
        <f t="shared" si="12"/>
        <v>0</v>
      </c>
      <c r="AI15" s="4"/>
      <c r="AJ15" s="8"/>
      <c r="AK15" s="3">
        <f t="shared" si="13"/>
        <v>0</v>
      </c>
      <c r="AL15" s="4"/>
      <c r="AM15" s="8"/>
      <c r="AN15" s="3"/>
      <c r="AO15" s="8">
        <f t="shared" si="14"/>
        <v>0</v>
      </c>
      <c r="AP15" s="3">
        <v>0</v>
      </c>
      <c r="AQ15" s="8">
        <f t="shared" si="17"/>
        <v>0.10000000005205381</v>
      </c>
      <c r="AR15" s="15">
        <f>9605431.37+11.12</f>
        <v>9605442.4899999984</v>
      </c>
      <c r="AS15" s="8">
        <f t="shared" si="18"/>
        <v>0</v>
      </c>
      <c r="AT15" s="3">
        <v>0</v>
      </c>
      <c r="AU15" s="9">
        <f t="shared" si="15"/>
        <v>0</v>
      </c>
      <c r="AV15" s="3">
        <v>0</v>
      </c>
      <c r="AW15" s="8"/>
      <c r="AX15" s="3"/>
      <c r="AY15" s="10" t="e">
        <f t="shared" si="16"/>
        <v>#REF!</v>
      </c>
      <c r="AZ15" s="10" t="e">
        <f>#REF!+#REF!+#REF!</f>
        <v>#REF!</v>
      </c>
      <c r="BA15" s="10" t="e">
        <f>#REF!+#REF!+#REF!</f>
        <v>#REF!</v>
      </c>
      <c r="BB15" s="10" t="e">
        <f>#REF!+#REF!+#REF!</f>
        <v>#REF!</v>
      </c>
      <c r="BC15" s="10" t="e">
        <f>#REF!+#REF!+#REF!</f>
        <v>#REF!</v>
      </c>
      <c r="BD15" s="10" t="e">
        <f>#REF!+#REF!</f>
        <v>#REF!</v>
      </c>
      <c r="BE15" s="10" t="e">
        <f>#REF!+#REF!</f>
        <v>#REF!</v>
      </c>
      <c r="BF15" s="10" t="e">
        <f>#REF!+#REF!</f>
        <v>#REF!</v>
      </c>
      <c r="BG15" s="10" t="e">
        <f>#REF!+#REF!</f>
        <v>#REF!</v>
      </c>
    </row>
    <row r="16" spans="1:59" ht="90" x14ac:dyDescent="0.25">
      <c r="A16" s="40">
        <v>7</v>
      </c>
      <c r="B16" s="1" t="s">
        <v>26</v>
      </c>
      <c r="C16" s="1" t="s">
        <v>27</v>
      </c>
      <c r="D16" s="5">
        <v>0.1</v>
      </c>
      <c r="E16" s="5">
        <v>0.1</v>
      </c>
      <c r="F16" s="5">
        <v>0.1</v>
      </c>
      <c r="G16" s="5">
        <v>0.11</v>
      </c>
      <c r="H16" s="5"/>
      <c r="I16" s="40">
        <v>420</v>
      </c>
      <c r="J16" s="40">
        <v>2024</v>
      </c>
      <c r="K16" s="40">
        <v>2025</v>
      </c>
      <c r="L16" s="2">
        <f t="shared" si="3"/>
        <v>142346938.78</v>
      </c>
      <c r="M16" s="3">
        <f t="shared" si="4"/>
        <v>0</v>
      </c>
      <c r="N16" s="3">
        <f t="shared" si="5"/>
        <v>0</v>
      </c>
      <c r="O16" s="3">
        <f t="shared" si="6"/>
        <v>71173469.390000001</v>
      </c>
      <c r="P16" s="3">
        <f t="shared" si="0"/>
        <v>71173469.390000001</v>
      </c>
      <c r="Q16" s="3">
        <f t="shared" si="1"/>
        <v>0</v>
      </c>
      <c r="R16" s="3">
        <f t="shared" si="7"/>
        <v>0</v>
      </c>
      <c r="S16" s="3">
        <f t="shared" si="8"/>
        <v>0</v>
      </c>
      <c r="T16" s="3">
        <f t="shared" si="9"/>
        <v>64056122.450000003</v>
      </c>
      <c r="U16" s="3">
        <f t="shared" si="2"/>
        <v>63344387.75</v>
      </c>
      <c r="V16" s="3"/>
      <c r="W16" s="3"/>
      <c r="X16" s="3"/>
      <c r="Y16" s="3">
        <v>34875000</v>
      </c>
      <c r="Z16" s="3">
        <v>34875000</v>
      </c>
      <c r="AA16" s="3"/>
      <c r="AB16" s="4"/>
      <c r="AC16" s="3">
        <f t="shared" si="10"/>
        <v>0</v>
      </c>
      <c r="AD16" s="4"/>
      <c r="AE16" s="3">
        <v>0</v>
      </c>
      <c r="AF16" s="4">
        <v>0.51</v>
      </c>
      <c r="AG16" s="8">
        <f>(AH16+AT16)/O16</f>
        <v>0.5100000000154552</v>
      </c>
      <c r="AH16" s="3">
        <f>ROUND(Y16/(1-AF16),2)-AT16-Y16</f>
        <v>29181122.450000003</v>
      </c>
      <c r="AI16" s="4">
        <v>0.51</v>
      </c>
      <c r="AJ16" s="8">
        <f>(AK16+AV16)/P16</f>
        <v>0.5100000000154552</v>
      </c>
      <c r="AK16" s="3">
        <f>ROUND(Z16/(1-AI16),2)-AV16-Z16</f>
        <v>28469387.75</v>
      </c>
      <c r="AL16" s="4"/>
      <c r="AM16" s="8"/>
      <c r="AN16" s="3"/>
      <c r="AO16" s="8">
        <f t="shared" si="14"/>
        <v>0</v>
      </c>
      <c r="AP16" s="3">
        <v>0</v>
      </c>
      <c r="AQ16" s="8">
        <f t="shared" si="17"/>
        <v>0</v>
      </c>
      <c r="AR16" s="3">
        <v>0</v>
      </c>
      <c r="AS16" s="8">
        <f t="shared" si="18"/>
        <v>0.10000000001405018</v>
      </c>
      <c r="AT16" s="3">
        <f>ROUND(Y16/(1-AF16)*F16,2)</f>
        <v>7117346.9400000004</v>
      </c>
      <c r="AU16" s="9">
        <f t="shared" si="15"/>
        <v>0.11000000009975627</v>
      </c>
      <c r="AV16" s="3">
        <f>ROUND(Z16/(1-AI16)*G16,2)+0.01</f>
        <v>7829081.6399999997</v>
      </c>
      <c r="AW16" s="8"/>
      <c r="AX16" s="3"/>
      <c r="AY16" s="10" t="e">
        <f t="shared" si="16"/>
        <v>#REF!</v>
      </c>
      <c r="AZ16" s="10" t="e">
        <f>#REF!+#REF!+#REF!</f>
        <v>#REF!</v>
      </c>
      <c r="BA16" s="10" t="e">
        <f>#REF!+#REF!+#REF!</f>
        <v>#REF!</v>
      </c>
      <c r="BB16" s="10" t="e">
        <f>#REF!+#REF!+#REF!</f>
        <v>#REF!</v>
      </c>
      <c r="BC16" s="10" t="e">
        <f>#REF!+#REF!+#REF!</f>
        <v>#REF!</v>
      </c>
      <c r="BD16" s="10" t="e">
        <f>#REF!+#REF!</f>
        <v>#REF!</v>
      </c>
      <c r="BE16" s="10" t="e">
        <f>#REF!+#REF!</f>
        <v>#REF!</v>
      </c>
      <c r="BF16" s="10" t="e">
        <f>#REF!+#REF!</f>
        <v>#REF!</v>
      </c>
      <c r="BG16" s="10" t="e">
        <f>#REF!+#REF!</f>
        <v>#REF!</v>
      </c>
    </row>
    <row r="17" spans="1:59" ht="75" x14ac:dyDescent="0.25">
      <c r="A17" s="40">
        <v>8</v>
      </c>
      <c r="B17" s="1" t="s">
        <v>28</v>
      </c>
      <c r="C17" s="1" t="s">
        <v>29</v>
      </c>
      <c r="D17" s="5">
        <v>0.12</v>
      </c>
      <c r="E17" s="5">
        <v>0.1</v>
      </c>
      <c r="F17" s="5">
        <v>0.11</v>
      </c>
      <c r="G17" s="5">
        <v>0.12</v>
      </c>
      <c r="H17" s="5"/>
      <c r="I17" s="40">
        <v>1176</v>
      </c>
      <c r="J17" s="40">
        <v>2024</v>
      </c>
      <c r="K17" s="40">
        <v>2025</v>
      </c>
      <c r="L17" s="2">
        <f t="shared" si="3"/>
        <v>142346938.78</v>
      </c>
      <c r="M17" s="3">
        <f t="shared" si="4"/>
        <v>0</v>
      </c>
      <c r="N17" s="3">
        <f t="shared" si="5"/>
        <v>0</v>
      </c>
      <c r="O17" s="3">
        <f t="shared" si="6"/>
        <v>71173469.390000001</v>
      </c>
      <c r="P17" s="3">
        <f t="shared" si="0"/>
        <v>71173469.390000001</v>
      </c>
      <c r="Q17" s="3">
        <f t="shared" si="1"/>
        <v>0</v>
      </c>
      <c r="R17" s="3">
        <f t="shared" si="7"/>
        <v>0</v>
      </c>
      <c r="S17" s="3">
        <f t="shared" si="8"/>
        <v>0</v>
      </c>
      <c r="T17" s="3">
        <f t="shared" si="9"/>
        <v>63344387.75</v>
      </c>
      <c r="U17" s="3">
        <f t="shared" si="2"/>
        <v>62632653.060000002</v>
      </c>
      <c r="V17" s="3"/>
      <c r="W17" s="3"/>
      <c r="X17" s="3"/>
      <c r="Y17" s="3">
        <v>34875000</v>
      </c>
      <c r="Z17" s="3">
        <v>34875000</v>
      </c>
      <c r="AA17" s="3"/>
      <c r="AB17" s="4"/>
      <c r="AC17" s="3">
        <f t="shared" si="10"/>
        <v>0</v>
      </c>
      <c r="AD17" s="4"/>
      <c r="AE17" s="3">
        <v>0</v>
      </c>
      <c r="AF17" s="4">
        <v>0.51</v>
      </c>
      <c r="AG17" s="8">
        <f t="shared" ref="AG17:AG29" si="19">(AH17+AT17)/O17</f>
        <v>0.5100000000154552</v>
      </c>
      <c r="AH17" s="3">
        <f t="shared" ref="AH17:AH22" si="20">ROUND(Y17/(1-AF17),2)-AT17-Y17</f>
        <v>28469387.75</v>
      </c>
      <c r="AI17" s="4">
        <v>0.51</v>
      </c>
      <c r="AJ17" s="8">
        <f t="shared" ref="AJ17:AJ22" si="21">(AK17+AV17)/P17</f>
        <v>0.5100000000154552</v>
      </c>
      <c r="AK17" s="3">
        <f t="shared" ref="AK17:AK22" si="22">ROUND(Z17/(1-AI17),2)-AV17-Z17</f>
        <v>27757653.060000002</v>
      </c>
      <c r="AL17" s="4"/>
      <c r="AM17" s="8"/>
      <c r="AN17" s="3"/>
      <c r="AO17" s="8">
        <f t="shared" si="14"/>
        <v>0</v>
      </c>
      <c r="AP17" s="3">
        <v>0</v>
      </c>
      <c r="AQ17" s="8">
        <f t="shared" si="17"/>
        <v>0</v>
      </c>
      <c r="AR17" s="3">
        <v>0</v>
      </c>
      <c r="AS17" s="8">
        <f t="shared" si="18"/>
        <v>0.11000000009975627</v>
      </c>
      <c r="AT17" s="3">
        <f>ROUND(Y17/(1-AF17)*F17,2)+0.01</f>
        <v>7829081.6399999997</v>
      </c>
      <c r="AU17" s="9">
        <f t="shared" si="15"/>
        <v>0.12000000004496057</v>
      </c>
      <c r="AV17" s="3">
        <f>ROUND(Z17/(1-AI17)*G17,2)</f>
        <v>8540816.3300000001</v>
      </c>
      <c r="AW17" s="8"/>
      <c r="AX17" s="3"/>
      <c r="AY17" s="10" t="e">
        <f t="shared" si="16"/>
        <v>#REF!</v>
      </c>
      <c r="AZ17" s="10" t="e">
        <f>#REF!+#REF!+#REF!</f>
        <v>#REF!</v>
      </c>
      <c r="BA17" s="10" t="e">
        <f>#REF!+#REF!+#REF!</f>
        <v>#REF!</v>
      </c>
      <c r="BB17" s="10" t="e">
        <f>#REF!+#REF!+#REF!</f>
        <v>#REF!</v>
      </c>
      <c r="BC17" s="10" t="e">
        <f>#REF!+#REF!+#REF!</f>
        <v>#REF!</v>
      </c>
      <c r="BD17" s="10" t="e">
        <f>#REF!+#REF!</f>
        <v>#REF!</v>
      </c>
      <c r="BE17" s="10" t="e">
        <f>#REF!+#REF!</f>
        <v>#REF!</v>
      </c>
      <c r="BF17" s="10" t="e">
        <f>#REF!+#REF!</f>
        <v>#REF!</v>
      </c>
      <c r="BG17" s="10" t="e">
        <f>#REF!+#REF!</f>
        <v>#REF!</v>
      </c>
    </row>
    <row r="18" spans="1:59" ht="60" x14ac:dyDescent="0.25">
      <c r="A18" s="40">
        <v>9</v>
      </c>
      <c r="B18" s="1" t="s">
        <v>30</v>
      </c>
      <c r="C18" s="1" t="s">
        <v>31</v>
      </c>
      <c r="D18" s="5">
        <v>0.09</v>
      </c>
      <c r="E18" s="5">
        <v>0.1</v>
      </c>
      <c r="F18" s="5">
        <v>0.1</v>
      </c>
      <c r="G18" s="5">
        <v>0.11</v>
      </c>
      <c r="H18" s="5"/>
      <c r="I18" s="40">
        <v>500</v>
      </c>
      <c r="J18" s="40">
        <v>2024</v>
      </c>
      <c r="K18" s="40">
        <v>2025</v>
      </c>
      <c r="L18" s="2">
        <f t="shared" si="3"/>
        <v>92498367.359999999</v>
      </c>
      <c r="M18" s="3">
        <f t="shared" si="4"/>
        <v>0</v>
      </c>
      <c r="N18" s="3">
        <f t="shared" si="5"/>
        <v>0</v>
      </c>
      <c r="O18" s="3">
        <f t="shared" si="6"/>
        <v>46249183.68</v>
      </c>
      <c r="P18" s="3">
        <f t="shared" si="0"/>
        <v>46249183.68</v>
      </c>
      <c r="Q18" s="3">
        <f t="shared" si="1"/>
        <v>0</v>
      </c>
      <c r="R18" s="3">
        <f t="shared" si="7"/>
        <v>0</v>
      </c>
      <c r="S18" s="3">
        <f t="shared" si="8"/>
        <v>0</v>
      </c>
      <c r="T18" s="3">
        <f t="shared" si="9"/>
        <v>41624265.310000002</v>
      </c>
      <c r="U18" s="3">
        <f t="shared" si="2"/>
        <v>41161773.469999999</v>
      </c>
      <c r="V18" s="3"/>
      <c r="W18" s="3"/>
      <c r="X18" s="3"/>
      <c r="Y18" s="3">
        <v>22662100</v>
      </c>
      <c r="Z18" s="3">
        <v>22662100</v>
      </c>
      <c r="AA18" s="3"/>
      <c r="AB18" s="4"/>
      <c r="AC18" s="3">
        <f t="shared" si="10"/>
        <v>0</v>
      </c>
      <c r="AD18" s="4"/>
      <c r="AE18" s="3">
        <v>0</v>
      </c>
      <c r="AF18" s="4">
        <v>0.51</v>
      </c>
      <c r="AG18" s="8">
        <f t="shared" si="19"/>
        <v>0.51000000006919055</v>
      </c>
      <c r="AH18" s="3">
        <f>ROUND(Y18/(1-AF18),2)-AT18-Y18+0.01</f>
        <v>18962165.310000006</v>
      </c>
      <c r="AI18" s="4">
        <v>0.51</v>
      </c>
      <c r="AJ18" s="8">
        <f t="shared" si="21"/>
        <v>0.51000000006919044</v>
      </c>
      <c r="AK18" s="3">
        <f>ROUND(Z18/(1-AI18),2)-AV18-Z18+0.01</f>
        <v>18499673.470000003</v>
      </c>
      <c r="AL18" s="4"/>
      <c r="AM18" s="8"/>
      <c r="AN18" s="3"/>
      <c r="AO18" s="8">
        <f t="shared" si="14"/>
        <v>0</v>
      </c>
      <c r="AP18" s="3">
        <v>0</v>
      </c>
      <c r="AQ18" s="8">
        <f t="shared" si="17"/>
        <v>0</v>
      </c>
      <c r="AR18" s="3">
        <v>0</v>
      </c>
      <c r="AS18" s="8">
        <f t="shared" si="18"/>
        <v>0.10000000004324401</v>
      </c>
      <c r="AT18" s="3">
        <f>ROUND(Y18/(1-AF18)*F18,2)</f>
        <v>4624918.37</v>
      </c>
      <c r="AU18" s="9">
        <f t="shared" si="15"/>
        <v>0.11000000011243442</v>
      </c>
      <c r="AV18" s="3">
        <f>ROUND(Z18/(1-AI18)*G18,2)+0.01</f>
        <v>5087410.21</v>
      </c>
      <c r="AW18" s="8"/>
      <c r="AX18" s="3"/>
      <c r="AY18" s="10" t="e">
        <f t="shared" si="16"/>
        <v>#REF!</v>
      </c>
      <c r="AZ18" s="10" t="e">
        <f>#REF!+#REF!+#REF!</f>
        <v>#REF!</v>
      </c>
      <c r="BA18" s="10" t="e">
        <f>#REF!+#REF!+#REF!</f>
        <v>#REF!</v>
      </c>
      <c r="BB18" s="10" t="e">
        <f>#REF!+#REF!+#REF!</f>
        <v>#REF!</v>
      </c>
      <c r="BC18" s="10" t="e">
        <f>#REF!+#REF!+#REF!</f>
        <v>#REF!</v>
      </c>
      <c r="BD18" s="10" t="e">
        <f>#REF!+#REF!</f>
        <v>#REF!</v>
      </c>
      <c r="BE18" s="10" t="e">
        <f>#REF!+#REF!</f>
        <v>#REF!</v>
      </c>
      <c r="BF18" s="10" t="e">
        <f>#REF!+#REF!</f>
        <v>#REF!</v>
      </c>
      <c r="BG18" s="10" t="e">
        <f>#REF!+#REF!</f>
        <v>#REF!</v>
      </c>
    </row>
    <row r="19" spans="1:59" ht="60" x14ac:dyDescent="0.25">
      <c r="A19" s="40">
        <v>10</v>
      </c>
      <c r="B19" s="1" t="s">
        <v>32</v>
      </c>
      <c r="C19" s="1" t="s">
        <v>33</v>
      </c>
      <c r="D19" s="5">
        <v>0.09</v>
      </c>
      <c r="E19" s="5">
        <v>0.1</v>
      </c>
      <c r="F19" s="5">
        <v>0.1</v>
      </c>
      <c r="G19" s="5">
        <v>0.11</v>
      </c>
      <c r="H19" s="5"/>
      <c r="I19" s="40">
        <v>520</v>
      </c>
      <c r="J19" s="40">
        <v>2024</v>
      </c>
      <c r="K19" s="40">
        <v>2025</v>
      </c>
      <c r="L19" s="2">
        <f t="shared" si="3"/>
        <v>97776734.699999988</v>
      </c>
      <c r="M19" s="3">
        <f t="shared" si="4"/>
        <v>0</v>
      </c>
      <c r="N19" s="3">
        <f t="shared" si="5"/>
        <v>0</v>
      </c>
      <c r="O19" s="3">
        <f t="shared" si="6"/>
        <v>48888367.350000001</v>
      </c>
      <c r="P19" s="3">
        <f t="shared" si="0"/>
        <v>48888367.349999994</v>
      </c>
      <c r="Q19" s="3">
        <f t="shared" si="1"/>
        <v>0</v>
      </c>
      <c r="R19" s="3">
        <f t="shared" si="7"/>
        <v>0</v>
      </c>
      <c r="S19" s="3">
        <f t="shared" si="8"/>
        <v>0</v>
      </c>
      <c r="T19" s="3">
        <f t="shared" si="9"/>
        <v>43999530.609999999</v>
      </c>
      <c r="U19" s="3">
        <f t="shared" si="2"/>
        <v>43510646.939999998</v>
      </c>
      <c r="V19" s="3"/>
      <c r="W19" s="3"/>
      <c r="X19" s="3"/>
      <c r="Y19" s="3">
        <v>23955300</v>
      </c>
      <c r="Z19" s="3">
        <v>23955300</v>
      </c>
      <c r="AA19" s="3"/>
      <c r="AB19" s="4"/>
      <c r="AC19" s="3">
        <f t="shared" si="10"/>
        <v>0</v>
      </c>
      <c r="AD19" s="4"/>
      <c r="AE19" s="3">
        <v>0</v>
      </c>
      <c r="AF19" s="4">
        <v>0.51</v>
      </c>
      <c r="AG19" s="8">
        <f t="shared" si="19"/>
        <v>0.51000000003068213</v>
      </c>
      <c r="AH19" s="3">
        <f t="shared" si="20"/>
        <v>20044230.609999999</v>
      </c>
      <c r="AI19" s="4">
        <v>0.51</v>
      </c>
      <c r="AJ19" s="8">
        <f t="shared" si="21"/>
        <v>0.51000000003068213</v>
      </c>
      <c r="AK19" s="3">
        <f t="shared" si="22"/>
        <v>19555346.939999998</v>
      </c>
      <c r="AL19" s="4"/>
      <c r="AM19" s="8"/>
      <c r="AN19" s="3"/>
      <c r="AO19" s="8">
        <f t="shared" si="14"/>
        <v>0</v>
      </c>
      <c r="AP19" s="3">
        <v>0</v>
      </c>
      <c r="AQ19" s="8">
        <f t="shared" si="17"/>
        <v>0</v>
      </c>
      <c r="AR19" s="3">
        <v>0</v>
      </c>
      <c r="AS19" s="8">
        <f t="shared" si="18"/>
        <v>0.10000000010227382</v>
      </c>
      <c r="AT19" s="3">
        <f>ROUND(Y19/(1-AF19)*F19,2)+0.01</f>
        <v>4888836.74</v>
      </c>
      <c r="AU19" s="9">
        <f t="shared" si="15"/>
        <v>0.11000000003068217</v>
      </c>
      <c r="AV19" s="3">
        <f>ROUND(Z19/(1-AI19)*G19,2)</f>
        <v>5377720.4100000001</v>
      </c>
      <c r="AW19" s="8"/>
      <c r="AX19" s="3"/>
      <c r="AY19" s="10" t="e">
        <f t="shared" si="16"/>
        <v>#REF!</v>
      </c>
      <c r="AZ19" s="10" t="e">
        <f>#REF!+#REF!+#REF!</f>
        <v>#REF!</v>
      </c>
      <c r="BA19" s="10" t="e">
        <f>#REF!+#REF!+#REF!</f>
        <v>#REF!</v>
      </c>
      <c r="BB19" s="10" t="e">
        <f>#REF!+#REF!+#REF!</f>
        <v>#REF!</v>
      </c>
      <c r="BC19" s="10" t="e">
        <f>#REF!+#REF!+#REF!</f>
        <v>#REF!</v>
      </c>
      <c r="BD19" s="10" t="e">
        <f>#REF!+#REF!</f>
        <v>#REF!</v>
      </c>
      <c r="BE19" s="10" t="e">
        <f>#REF!+#REF!</f>
        <v>#REF!</v>
      </c>
      <c r="BF19" s="10" t="e">
        <f>#REF!+#REF!</f>
        <v>#REF!</v>
      </c>
      <c r="BG19" s="10" t="e">
        <f>#REF!+#REF!</f>
        <v>#REF!</v>
      </c>
    </row>
    <row r="20" spans="1:59" ht="60" x14ac:dyDescent="0.25">
      <c r="A20" s="40">
        <v>11</v>
      </c>
      <c r="B20" s="1" t="s">
        <v>34</v>
      </c>
      <c r="C20" s="1" t="s">
        <v>35</v>
      </c>
      <c r="D20" s="5">
        <v>0.09</v>
      </c>
      <c r="E20" s="5">
        <v>0.1</v>
      </c>
      <c r="F20" s="5">
        <v>0.1</v>
      </c>
      <c r="G20" s="5">
        <v>0.11</v>
      </c>
      <c r="H20" s="5"/>
      <c r="I20" s="40">
        <v>1413</v>
      </c>
      <c r="J20" s="40">
        <v>2024</v>
      </c>
      <c r="K20" s="40">
        <v>2025</v>
      </c>
      <c r="L20" s="2">
        <f t="shared" si="3"/>
        <v>142346938.78</v>
      </c>
      <c r="M20" s="3">
        <f t="shared" si="4"/>
        <v>0</v>
      </c>
      <c r="N20" s="3">
        <f t="shared" si="5"/>
        <v>0</v>
      </c>
      <c r="O20" s="3">
        <f t="shared" si="6"/>
        <v>71173469.390000001</v>
      </c>
      <c r="P20" s="3">
        <f t="shared" si="0"/>
        <v>71173469.390000001</v>
      </c>
      <c r="Q20" s="3">
        <f t="shared" si="1"/>
        <v>0</v>
      </c>
      <c r="R20" s="3">
        <f t="shared" si="7"/>
        <v>0</v>
      </c>
      <c r="S20" s="3">
        <f t="shared" si="8"/>
        <v>0</v>
      </c>
      <c r="T20" s="3">
        <f t="shared" si="9"/>
        <v>64056122.450000003</v>
      </c>
      <c r="U20" s="3">
        <f t="shared" si="2"/>
        <v>63344387.75</v>
      </c>
      <c r="V20" s="3"/>
      <c r="W20" s="3"/>
      <c r="X20" s="3"/>
      <c r="Y20" s="3">
        <v>34875000</v>
      </c>
      <c r="Z20" s="3">
        <v>34875000</v>
      </c>
      <c r="AA20" s="3"/>
      <c r="AB20" s="4"/>
      <c r="AC20" s="3">
        <f t="shared" si="10"/>
        <v>0</v>
      </c>
      <c r="AD20" s="4"/>
      <c r="AE20" s="3">
        <v>0</v>
      </c>
      <c r="AF20" s="4">
        <v>0.51</v>
      </c>
      <c r="AG20" s="8">
        <f t="shared" si="19"/>
        <v>0.5100000000154552</v>
      </c>
      <c r="AH20" s="3">
        <f t="shared" si="20"/>
        <v>29181122.450000003</v>
      </c>
      <c r="AI20" s="4">
        <v>0.51</v>
      </c>
      <c r="AJ20" s="8">
        <f t="shared" si="21"/>
        <v>0.5100000000154552</v>
      </c>
      <c r="AK20" s="3">
        <f t="shared" si="22"/>
        <v>28469387.75</v>
      </c>
      <c r="AL20" s="4"/>
      <c r="AM20" s="8"/>
      <c r="AN20" s="3"/>
      <c r="AO20" s="8">
        <f t="shared" si="14"/>
        <v>0</v>
      </c>
      <c r="AP20" s="3">
        <v>0</v>
      </c>
      <c r="AQ20" s="8">
        <f t="shared" si="17"/>
        <v>0</v>
      </c>
      <c r="AR20" s="3">
        <v>0</v>
      </c>
      <c r="AS20" s="8">
        <f t="shared" si="18"/>
        <v>0.10000000001405018</v>
      </c>
      <c r="AT20" s="3">
        <f>ROUND(Y20/(1-AF20)*F20,2)</f>
        <v>7117346.9400000004</v>
      </c>
      <c r="AU20" s="9">
        <f t="shared" si="15"/>
        <v>0.11000000009975627</v>
      </c>
      <c r="AV20" s="3">
        <f>ROUND(Z20/(1-AI20)*G20,2)+0.01</f>
        <v>7829081.6399999997</v>
      </c>
      <c r="AW20" s="8"/>
      <c r="AX20" s="3"/>
      <c r="AY20" s="10" t="e">
        <f t="shared" si="16"/>
        <v>#REF!</v>
      </c>
      <c r="AZ20" s="10" t="e">
        <f>#REF!+#REF!+#REF!</f>
        <v>#REF!</v>
      </c>
      <c r="BA20" s="10" t="e">
        <f>#REF!+#REF!+#REF!</f>
        <v>#REF!</v>
      </c>
      <c r="BB20" s="10" t="e">
        <f>#REF!+#REF!+#REF!</f>
        <v>#REF!</v>
      </c>
      <c r="BC20" s="10" t="e">
        <f>#REF!+#REF!+#REF!</f>
        <v>#REF!</v>
      </c>
      <c r="BD20" s="10" t="e">
        <f>#REF!+#REF!</f>
        <v>#REF!</v>
      </c>
      <c r="BE20" s="10" t="e">
        <f>#REF!+#REF!</f>
        <v>#REF!</v>
      </c>
      <c r="BF20" s="10" t="e">
        <f>#REF!+#REF!</f>
        <v>#REF!</v>
      </c>
      <c r="BG20" s="10" t="e">
        <f>#REF!+#REF!</f>
        <v>#REF!</v>
      </c>
    </row>
    <row r="21" spans="1:59" ht="45" x14ac:dyDescent="0.25">
      <c r="A21" s="40">
        <v>12</v>
      </c>
      <c r="B21" s="1" t="s">
        <v>36</v>
      </c>
      <c r="C21" s="1" t="s">
        <v>37</v>
      </c>
      <c r="D21" s="5">
        <v>0.1</v>
      </c>
      <c r="E21" s="5">
        <v>0.11</v>
      </c>
      <c r="F21" s="5">
        <v>0.11</v>
      </c>
      <c r="G21" s="5">
        <v>0.11</v>
      </c>
      <c r="H21" s="5"/>
      <c r="I21" s="40">
        <v>247</v>
      </c>
      <c r="J21" s="40">
        <v>2024</v>
      </c>
      <c r="K21" s="40">
        <v>2025</v>
      </c>
      <c r="L21" s="2">
        <f t="shared" si="3"/>
        <v>79714693.879999995</v>
      </c>
      <c r="M21" s="3">
        <f t="shared" si="4"/>
        <v>0</v>
      </c>
      <c r="N21" s="3">
        <f t="shared" si="5"/>
        <v>0</v>
      </c>
      <c r="O21" s="3">
        <f t="shared" si="6"/>
        <v>39857346.939999998</v>
      </c>
      <c r="P21" s="3">
        <f t="shared" si="0"/>
        <v>39857346.939999998</v>
      </c>
      <c r="Q21" s="3">
        <f t="shared" si="1"/>
        <v>0</v>
      </c>
      <c r="R21" s="3">
        <f t="shared" si="7"/>
        <v>0</v>
      </c>
      <c r="S21" s="3">
        <f t="shared" si="8"/>
        <v>0</v>
      </c>
      <c r="T21" s="3">
        <f t="shared" si="9"/>
        <v>35473038.769999996</v>
      </c>
      <c r="U21" s="3">
        <f t="shared" si="2"/>
        <v>35473038.769999996</v>
      </c>
      <c r="V21" s="3"/>
      <c r="W21" s="3"/>
      <c r="X21" s="3"/>
      <c r="Y21" s="3">
        <v>19530100</v>
      </c>
      <c r="Z21" s="3">
        <v>19530100</v>
      </c>
      <c r="AA21" s="3"/>
      <c r="AB21" s="4"/>
      <c r="AC21" s="3">
        <f t="shared" si="10"/>
        <v>0</v>
      </c>
      <c r="AD21" s="4"/>
      <c r="AE21" s="3">
        <v>0</v>
      </c>
      <c r="AF21" s="4">
        <v>0.51</v>
      </c>
      <c r="AG21" s="8">
        <f t="shared" si="19"/>
        <v>0.51000000001505363</v>
      </c>
      <c r="AH21" s="3">
        <f t="shared" si="20"/>
        <v>15942938.769999996</v>
      </c>
      <c r="AI21" s="4">
        <v>0.51</v>
      </c>
      <c r="AJ21" s="8">
        <f t="shared" si="21"/>
        <v>0.51000000001505363</v>
      </c>
      <c r="AK21" s="3">
        <f t="shared" si="22"/>
        <v>15942938.769999996</v>
      </c>
      <c r="AL21" s="4"/>
      <c r="AM21" s="8"/>
      <c r="AN21" s="3"/>
      <c r="AO21" s="8">
        <f t="shared" si="14"/>
        <v>0</v>
      </c>
      <c r="AP21" s="3">
        <v>0</v>
      </c>
      <c r="AQ21" s="8">
        <f t="shared" si="17"/>
        <v>0</v>
      </c>
      <c r="AR21" s="3">
        <v>0</v>
      </c>
      <c r="AS21" s="8">
        <f t="shared" si="18"/>
        <v>0.11000000016559056</v>
      </c>
      <c r="AT21" s="3">
        <f>ROUND(Y21/(1-AF21)*F21,2)+0.01</f>
        <v>4384308.17</v>
      </c>
      <c r="AU21" s="9">
        <f t="shared" si="15"/>
        <v>0.11000000016559056</v>
      </c>
      <c r="AV21" s="3">
        <f>ROUND(Z21/(1-AI21)*G21,2)+0.01</f>
        <v>4384308.17</v>
      </c>
      <c r="AW21" s="8"/>
      <c r="AX21" s="3"/>
      <c r="AY21" s="10" t="e">
        <f t="shared" si="16"/>
        <v>#REF!</v>
      </c>
      <c r="AZ21" s="10" t="e">
        <f>#REF!+#REF!+#REF!</f>
        <v>#REF!</v>
      </c>
      <c r="BA21" s="10" t="e">
        <f>#REF!+#REF!+#REF!</f>
        <v>#REF!</v>
      </c>
      <c r="BB21" s="10" t="e">
        <f>#REF!+#REF!+#REF!</f>
        <v>#REF!</v>
      </c>
      <c r="BC21" s="10" t="e">
        <f>#REF!+#REF!+#REF!</f>
        <v>#REF!</v>
      </c>
      <c r="BD21" s="10" t="e">
        <f>#REF!+#REF!</f>
        <v>#REF!</v>
      </c>
      <c r="BE21" s="10" t="e">
        <f>#REF!+#REF!</f>
        <v>#REF!</v>
      </c>
      <c r="BF21" s="10" t="e">
        <f>#REF!+#REF!</f>
        <v>#REF!</v>
      </c>
      <c r="BG21" s="10" t="e">
        <f>#REF!+#REF!</f>
        <v>#REF!</v>
      </c>
    </row>
    <row r="22" spans="1:59" ht="60" x14ac:dyDescent="0.25">
      <c r="A22" s="40">
        <v>13</v>
      </c>
      <c r="B22" s="1" t="s">
        <v>38</v>
      </c>
      <c r="C22" s="1" t="s">
        <v>39</v>
      </c>
      <c r="D22" s="5">
        <v>0.09</v>
      </c>
      <c r="E22" s="5">
        <v>0.1</v>
      </c>
      <c r="F22" s="5">
        <v>0.1</v>
      </c>
      <c r="G22" s="5">
        <v>0.11</v>
      </c>
      <c r="H22" s="5"/>
      <c r="I22" s="40">
        <v>480</v>
      </c>
      <c r="J22" s="40">
        <v>2024</v>
      </c>
      <c r="K22" s="40">
        <v>2025</v>
      </c>
      <c r="L22" s="2">
        <f t="shared" si="3"/>
        <v>132802448.98</v>
      </c>
      <c r="M22" s="3">
        <f t="shared" si="4"/>
        <v>0</v>
      </c>
      <c r="N22" s="3">
        <f t="shared" si="5"/>
        <v>0</v>
      </c>
      <c r="O22" s="3">
        <f t="shared" si="6"/>
        <v>66401224.490000002</v>
      </c>
      <c r="P22" s="3">
        <f t="shared" si="0"/>
        <v>66401224.490000002</v>
      </c>
      <c r="Q22" s="3">
        <f t="shared" si="1"/>
        <v>0</v>
      </c>
      <c r="R22" s="3">
        <f t="shared" si="7"/>
        <v>0</v>
      </c>
      <c r="S22" s="3">
        <f t="shared" si="8"/>
        <v>0</v>
      </c>
      <c r="T22" s="3">
        <f t="shared" si="9"/>
        <v>59761102.039999999</v>
      </c>
      <c r="U22" s="3">
        <f t="shared" si="2"/>
        <v>59097089.789999999</v>
      </c>
      <c r="V22" s="3"/>
      <c r="W22" s="3"/>
      <c r="X22" s="3"/>
      <c r="Y22" s="3">
        <v>32536600</v>
      </c>
      <c r="Z22" s="3">
        <v>32536600</v>
      </c>
      <c r="AA22" s="3"/>
      <c r="AB22" s="4"/>
      <c r="AC22" s="3">
        <f t="shared" si="10"/>
        <v>0</v>
      </c>
      <c r="AD22" s="4"/>
      <c r="AE22" s="3">
        <v>0</v>
      </c>
      <c r="AF22" s="4">
        <v>0.51</v>
      </c>
      <c r="AG22" s="8">
        <f t="shared" si="19"/>
        <v>0.51000000000150603</v>
      </c>
      <c r="AH22" s="3">
        <f t="shared" si="20"/>
        <v>27224502.039999999</v>
      </c>
      <c r="AI22" s="4">
        <v>0.51</v>
      </c>
      <c r="AJ22" s="8">
        <f t="shared" si="21"/>
        <v>0.51000000000150603</v>
      </c>
      <c r="AK22" s="3">
        <f t="shared" si="22"/>
        <v>26560489.789999999</v>
      </c>
      <c r="AL22" s="4"/>
      <c r="AM22" s="8"/>
      <c r="AN22" s="3"/>
      <c r="AO22" s="8">
        <f t="shared" si="14"/>
        <v>0</v>
      </c>
      <c r="AP22" s="3">
        <v>0</v>
      </c>
      <c r="AQ22" s="8">
        <f t="shared" si="17"/>
        <v>0</v>
      </c>
      <c r="AR22" s="3">
        <v>0</v>
      </c>
      <c r="AS22" s="8">
        <f t="shared" si="18"/>
        <v>0.10000000001505996</v>
      </c>
      <c r="AT22" s="3">
        <f>ROUND(Y22/(1-AF22)*F22,2)</f>
        <v>6640122.4500000002</v>
      </c>
      <c r="AU22" s="9">
        <f t="shared" si="15"/>
        <v>0.11000000009186578</v>
      </c>
      <c r="AV22" s="3">
        <f>ROUND(Z22/(1-AI22)*G22,2)+0.01</f>
        <v>7304134.7000000002</v>
      </c>
      <c r="AW22" s="8"/>
      <c r="AX22" s="3"/>
      <c r="AY22" s="10" t="e">
        <f t="shared" si="16"/>
        <v>#REF!</v>
      </c>
      <c r="AZ22" s="10" t="e">
        <f>#REF!+#REF!+#REF!</f>
        <v>#REF!</v>
      </c>
      <c r="BA22" s="10" t="e">
        <f>#REF!+#REF!+#REF!</f>
        <v>#REF!</v>
      </c>
      <c r="BB22" s="10" t="e">
        <f>#REF!+#REF!+#REF!</f>
        <v>#REF!</v>
      </c>
      <c r="BC22" s="10" t="e">
        <f>#REF!+#REF!+#REF!</f>
        <v>#REF!</v>
      </c>
      <c r="BD22" s="10" t="e">
        <f>#REF!+#REF!</f>
        <v>#REF!</v>
      </c>
      <c r="BE22" s="10" t="e">
        <f>#REF!+#REF!</f>
        <v>#REF!</v>
      </c>
      <c r="BF22" s="10" t="e">
        <f>#REF!+#REF!</f>
        <v>#REF!</v>
      </c>
      <c r="BG22" s="10" t="e">
        <f>#REF!+#REF!</f>
        <v>#REF!</v>
      </c>
    </row>
    <row r="23" spans="1:59" x14ac:dyDescent="0.25">
      <c r="A23" s="43" t="s">
        <v>40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16">
        <f>SUM(L10:L22)</f>
        <v>1528205227.96</v>
      </c>
      <c r="M23" s="16">
        <f t="shared" ref="M23:BG23" si="23">SUM(M10:M22)</f>
        <v>419602549.04000002</v>
      </c>
      <c r="N23" s="16">
        <f t="shared" si="23"/>
        <v>278769617.65999997</v>
      </c>
      <c r="O23" s="16">
        <f t="shared" si="23"/>
        <v>414916530.63</v>
      </c>
      <c r="P23" s="16">
        <f t="shared" si="23"/>
        <v>414916530.63</v>
      </c>
      <c r="Q23" s="16">
        <f t="shared" si="23"/>
        <v>0</v>
      </c>
      <c r="R23" s="16">
        <f t="shared" si="23"/>
        <v>373968635.32000005</v>
      </c>
      <c r="S23" s="16">
        <f t="shared" si="23"/>
        <v>249678660.81</v>
      </c>
      <c r="T23" s="16">
        <f t="shared" si="23"/>
        <v>372314569.38</v>
      </c>
      <c r="U23" s="16">
        <f t="shared" si="23"/>
        <v>368563977.53000003</v>
      </c>
      <c r="V23" s="16">
        <f t="shared" si="23"/>
        <v>0</v>
      </c>
      <c r="W23" s="16">
        <f t="shared" si="23"/>
        <v>213997300</v>
      </c>
      <c r="X23" s="16">
        <f t="shared" si="23"/>
        <v>119251100</v>
      </c>
      <c r="Y23" s="16">
        <f t="shared" si="23"/>
        <v>203309100</v>
      </c>
      <c r="Z23" s="16">
        <f t="shared" si="23"/>
        <v>203309100</v>
      </c>
      <c r="AA23" s="16">
        <f t="shared" si="23"/>
        <v>0</v>
      </c>
      <c r="AB23" s="16"/>
      <c r="AC23" s="16">
        <f t="shared" si="23"/>
        <v>159971335.31999999</v>
      </c>
      <c r="AD23" s="16"/>
      <c r="AE23" s="16">
        <f t="shared" si="23"/>
        <v>130427560.80999999</v>
      </c>
      <c r="AF23" s="17"/>
      <c r="AG23" s="18"/>
      <c r="AH23" s="16">
        <f t="shared" si="23"/>
        <v>169005469.38</v>
      </c>
      <c r="AI23" s="17"/>
      <c r="AJ23" s="18"/>
      <c r="AK23" s="16">
        <f t="shared" si="23"/>
        <v>165254877.53</v>
      </c>
      <c r="AL23" s="17"/>
      <c r="AM23" s="18"/>
      <c r="AN23" s="16"/>
      <c r="AO23" s="18"/>
      <c r="AP23" s="16">
        <f t="shared" si="23"/>
        <v>45633913.719999999</v>
      </c>
      <c r="AQ23" s="18"/>
      <c r="AR23" s="16">
        <f t="shared" si="23"/>
        <v>29090956.850000001</v>
      </c>
      <c r="AS23" s="18"/>
      <c r="AT23" s="16">
        <f t="shared" si="23"/>
        <v>42601961.25</v>
      </c>
      <c r="AU23" s="18"/>
      <c r="AV23" s="16">
        <f t="shared" si="23"/>
        <v>46352553.100000001</v>
      </c>
      <c r="AW23" s="18"/>
      <c r="AX23" s="16"/>
      <c r="AY23" s="16" t="e">
        <f t="shared" si="23"/>
        <v>#REF!</v>
      </c>
      <c r="AZ23" s="16" t="e">
        <f t="shared" si="23"/>
        <v>#REF!</v>
      </c>
      <c r="BA23" s="16" t="e">
        <f t="shared" si="23"/>
        <v>#REF!</v>
      </c>
      <c r="BB23" s="16" t="e">
        <f t="shared" si="23"/>
        <v>#REF!</v>
      </c>
      <c r="BC23" s="16" t="e">
        <f t="shared" si="23"/>
        <v>#REF!</v>
      </c>
      <c r="BD23" s="16" t="e">
        <f t="shared" si="23"/>
        <v>#REF!</v>
      </c>
      <c r="BE23" s="16" t="e">
        <f t="shared" si="23"/>
        <v>#REF!</v>
      </c>
      <c r="BF23" s="16" t="e">
        <f t="shared" si="23"/>
        <v>#REF!</v>
      </c>
      <c r="BG23" s="16" t="e">
        <f t="shared" si="23"/>
        <v>#REF!</v>
      </c>
    </row>
    <row r="24" spans="1:59" ht="90" x14ac:dyDescent="0.25">
      <c r="A24" s="40">
        <v>14</v>
      </c>
      <c r="B24" s="19" t="s">
        <v>48</v>
      </c>
      <c r="C24" s="19" t="s">
        <v>49</v>
      </c>
      <c r="D24" s="19">
        <v>210</v>
      </c>
      <c r="E24" s="19">
        <v>2024</v>
      </c>
      <c r="F24" s="29">
        <v>0.1</v>
      </c>
      <c r="G24" s="29">
        <v>0.11</v>
      </c>
      <c r="H24" s="29">
        <v>0.1</v>
      </c>
      <c r="I24" s="19">
        <v>210</v>
      </c>
      <c r="J24" s="19">
        <v>2024</v>
      </c>
      <c r="K24" s="19">
        <v>2024</v>
      </c>
      <c r="L24" s="2">
        <f t="shared" si="3"/>
        <v>85374117.650000006</v>
      </c>
      <c r="M24" s="3">
        <f t="shared" ref="M24:M35" si="24">W24+AC24+AP24</f>
        <v>0</v>
      </c>
      <c r="N24" s="3">
        <f t="shared" ref="N24:N35" si="25">X24+AE24+AR24</f>
        <v>0</v>
      </c>
      <c r="O24" s="3">
        <f t="shared" ref="O24:O35" si="26">Y24+AH24+AT24</f>
        <v>85374117.650000006</v>
      </c>
      <c r="P24" s="3">
        <f t="shared" ref="P24:P30" si="27">Z24+AK24+AV24</f>
        <v>0</v>
      </c>
      <c r="Q24" s="3">
        <f t="shared" ref="Q24:Q32" si="28">V24+AX24</f>
        <v>0</v>
      </c>
      <c r="R24" s="3">
        <f t="shared" ref="R24:R35" si="29">W24+AC24</f>
        <v>0</v>
      </c>
      <c r="S24" s="3">
        <f t="shared" ref="S24:S35" si="30">X24+AE24</f>
        <v>0</v>
      </c>
      <c r="T24" s="3">
        <f t="shared" ref="T24:T35" si="31">Y24+AH24</f>
        <v>85374117.650000006</v>
      </c>
      <c r="U24" s="3">
        <f t="shared" ref="U24:U35" si="32">Z24+AK24</f>
        <v>0</v>
      </c>
      <c r="V24" s="3">
        <f t="shared" ref="V24:V32" si="33">AB24+AO24</f>
        <v>0</v>
      </c>
      <c r="W24" s="30"/>
      <c r="X24" s="30"/>
      <c r="Y24" s="20">
        <v>43540800</v>
      </c>
      <c r="Z24" s="30"/>
      <c r="AA24" s="30"/>
      <c r="AB24" s="30"/>
      <c r="AC24" s="30"/>
      <c r="AD24" s="30"/>
      <c r="AE24" s="30">
        <v>0</v>
      </c>
      <c r="AF24" s="21">
        <v>0.49</v>
      </c>
      <c r="AG24" s="8">
        <f t="shared" si="19"/>
        <v>0.49000000001756977</v>
      </c>
      <c r="AH24" s="31">
        <f>ROUND(Y24/(1-AF24),2)-AT24-Y24</f>
        <v>41833317.650000006</v>
      </c>
      <c r="AI24" s="4">
        <v>0.49</v>
      </c>
      <c r="AJ24" s="8"/>
      <c r="AK24" s="30"/>
      <c r="AL24" s="4">
        <v>0.43</v>
      </c>
      <c r="AM24" s="8"/>
      <c r="AN24" s="30"/>
      <c r="AO24" s="32"/>
      <c r="AP24" s="30"/>
      <c r="AQ24" s="32"/>
      <c r="AR24" s="30"/>
      <c r="AS24" s="8">
        <f t="shared" si="18"/>
        <v>0</v>
      </c>
      <c r="AT24" s="31"/>
      <c r="AU24" s="32"/>
      <c r="AV24" s="30"/>
      <c r="AW24" s="32"/>
      <c r="AX24" s="30"/>
      <c r="AY24" s="30"/>
      <c r="AZ24" s="30"/>
      <c r="BA24" s="30"/>
      <c r="BB24" s="30"/>
      <c r="BC24" s="30"/>
      <c r="BD24" s="30"/>
      <c r="BE24" s="30"/>
      <c r="BF24" s="30"/>
      <c r="BG24" s="30"/>
    </row>
    <row r="25" spans="1:59" ht="90" x14ac:dyDescent="0.25">
      <c r="A25" s="40">
        <v>15</v>
      </c>
      <c r="B25" s="22" t="s">
        <v>50</v>
      </c>
      <c r="C25" s="22" t="s">
        <v>51</v>
      </c>
      <c r="D25" s="23">
        <v>100</v>
      </c>
      <c r="E25" s="23">
        <v>2024</v>
      </c>
      <c r="F25" s="29">
        <v>0.1</v>
      </c>
      <c r="G25" s="29">
        <v>0.11</v>
      </c>
      <c r="H25" s="29">
        <v>0.1</v>
      </c>
      <c r="I25" s="23">
        <v>100</v>
      </c>
      <c r="J25" s="23">
        <v>2024</v>
      </c>
      <c r="K25" s="23">
        <v>2024</v>
      </c>
      <c r="L25" s="2">
        <f t="shared" si="3"/>
        <v>54075490.200000003</v>
      </c>
      <c r="M25" s="3">
        <f t="shared" si="24"/>
        <v>0</v>
      </c>
      <c r="N25" s="3">
        <f t="shared" si="25"/>
        <v>0</v>
      </c>
      <c r="O25" s="3">
        <f t="shared" si="26"/>
        <v>54075490.200000003</v>
      </c>
      <c r="P25" s="3">
        <f t="shared" si="27"/>
        <v>0</v>
      </c>
      <c r="Q25" s="3">
        <f t="shared" si="28"/>
        <v>0</v>
      </c>
      <c r="R25" s="3">
        <f t="shared" si="29"/>
        <v>0</v>
      </c>
      <c r="S25" s="3">
        <f t="shared" si="30"/>
        <v>0</v>
      </c>
      <c r="T25" s="3">
        <f t="shared" si="31"/>
        <v>48667941.180000007</v>
      </c>
      <c r="U25" s="3">
        <f t="shared" si="32"/>
        <v>0</v>
      </c>
      <c r="V25" s="3">
        <f t="shared" si="33"/>
        <v>0</v>
      </c>
      <c r="W25" s="30"/>
      <c r="X25" s="30"/>
      <c r="Y25" s="20">
        <v>27578500</v>
      </c>
      <c r="Z25" s="30"/>
      <c r="AA25" s="30"/>
      <c r="AB25" s="30"/>
      <c r="AC25" s="30"/>
      <c r="AD25" s="30"/>
      <c r="AE25" s="30">
        <v>0</v>
      </c>
      <c r="AF25" s="21">
        <v>0.49</v>
      </c>
      <c r="AG25" s="8">
        <f t="shared" si="19"/>
        <v>0.49000000003698541</v>
      </c>
      <c r="AH25" s="31">
        <f t="shared" ref="AH25" si="34">ROUND(Y25/(1-AF25),2)-AT25-Y25</f>
        <v>21089441.180000007</v>
      </c>
      <c r="AI25" s="4">
        <v>0.49</v>
      </c>
      <c r="AJ25" s="8"/>
      <c r="AK25" s="30"/>
      <c r="AL25" s="4">
        <v>0.43</v>
      </c>
      <c r="AM25" s="8"/>
      <c r="AN25" s="30"/>
      <c r="AO25" s="32"/>
      <c r="AP25" s="30"/>
      <c r="AQ25" s="32"/>
      <c r="AR25" s="30"/>
      <c r="AS25" s="8">
        <f t="shared" si="18"/>
        <v>9.9999999999999992E-2</v>
      </c>
      <c r="AT25" s="31">
        <f t="shared" ref="AT25:AT29" si="35">ROUND(Y25/(1-AF25)*F25,2)</f>
        <v>5407549.0199999996</v>
      </c>
      <c r="AU25" s="32"/>
      <c r="AV25" s="30"/>
      <c r="AW25" s="32"/>
      <c r="AX25" s="30"/>
      <c r="AY25" s="30"/>
      <c r="AZ25" s="30"/>
      <c r="BA25" s="30"/>
      <c r="BB25" s="30"/>
      <c r="BC25" s="30"/>
      <c r="BD25" s="30"/>
      <c r="BE25" s="30"/>
      <c r="BF25" s="30"/>
      <c r="BG25" s="30"/>
    </row>
    <row r="26" spans="1:59" ht="75" x14ac:dyDescent="0.25">
      <c r="A26" s="40">
        <v>16</v>
      </c>
      <c r="B26" s="24" t="s">
        <v>52</v>
      </c>
      <c r="C26" s="22" t="s">
        <v>53</v>
      </c>
      <c r="D26" s="23">
        <v>365</v>
      </c>
      <c r="E26" s="23">
        <v>2024</v>
      </c>
      <c r="F26" s="29">
        <v>0.13</v>
      </c>
      <c r="G26" s="29">
        <v>0.13</v>
      </c>
      <c r="H26" s="29">
        <v>0.12</v>
      </c>
      <c r="I26" s="23">
        <v>365</v>
      </c>
      <c r="J26" s="23">
        <v>2024</v>
      </c>
      <c r="K26" s="23">
        <v>2024</v>
      </c>
      <c r="L26" s="2">
        <f t="shared" si="3"/>
        <v>93173137.260000005</v>
      </c>
      <c r="M26" s="3">
        <f t="shared" si="24"/>
        <v>0</v>
      </c>
      <c r="N26" s="3">
        <f t="shared" si="25"/>
        <v>0</v>
      </c>
      <c r="O26" s="3">
        <f t="shared" si="26"/>
        <v>93173137.260000005</v>
      </c>
      <c r="P26" s="3">
        <f t="shared" si="27"/>
        <v>0</v>
      </c>
      <c r="Q26" s="3">
        <f t="shared" si="28"/>
        <v>0</v>
      </c>
      <c r="R26" s="3">
        <f t="shared" si="29"/>
        <v>0</v>
      </c>
      <c r="S26" s="3">
        <f t="shared" si="30"/>
        <v>0</v>
      </c>
      <c r="T26" s="3">
        <f t="shared" si="31"/>
        <v>81060629.420000002</v>
      </c>
      <c r="U26" s="3">
        <f t="shared" si="32"/>
        <v>0</v>
      </c>
      <c r="V26" s="3">
        <f t="shared" si="33"/>
        <v>0</v>
      </c>
      <c r="W26" s="30"/>
      <c r="X26" s="30"/>
      <c r="Y26" s="20">
        <v>47518300</v>
      </c>
      <c r="Z26" s="30"/>
      <c r="AA26" s="30"/>
      <c r="AB26" s="30"/>
      <c r="AC26" s="30"/>
      <c r="AD26" s="30"/>
      <c r="AE26" s="30"/>
      <c r="AF26" s="21">
        <v>0.49</v>
      </c>
      <c r="AG26" s="8">
        <f t="shared" si="19"/>
        <v>0.490000000027905</v>
      </c>
      <c r="AH26" s="31">
        <f>ROUND(Y26/(1-AF26),2)-AT26-Y26+0.01</f>
        <v>33542329.419999998</v>
      </c>
      <c r="AI26" s="4">
        <v>0.49</v>
      </c>
      <c r="AJ26" s="8"/>
      <c r="AK26" s="30"/>
      <c r="AL26" s="4">
        <v>0.43</v>
      </c>
      <c r="AM26" s="8"/>
      <c r="AN26" s="30"/>
      <c r="AO26" s="32"/>
      <c r="AP26" s="30"/>
      <c r="AQ26" s="32"/>
      <c r="AR26" s="30"/>
      <c r="AS26" s="8">
        <f t="shared" si="18"/>
        <v>0.12999999995921571</v>
      </c>
      <c r="AT26" s="31">
        <f t="shared" si="35"/>
        <v>12112507.84</v>
      </c>
      <c r="AU26" s="32"/>
      <c r="AV26" s="30"/>
      <c r="AW26" s="32"/>
      <c r="AX26" s="30"/>
      <c r="AY26" s="30"/>
      <c r="AZ26" s="30"/>
      <c r="BA26" s="30"/>
      <c r="BB26" s="30"/>
      <c r="BC26" s="30"/>
      <c r="BD26" s="30"/>
      <c r="BE26" s="30"/>
      <c r="BF26" s="30"/>
      <c r="BG26" s="30"/>
    </row>
    <row r="27" spans="1:59" ht="90" x14ac:dyDescent="0.25">
      <c r="A27" s="40">
        <v>17</v>
      </c>
      <c r="B27" s="22" t="s">
        <v>54</v>
      </c>
      <c r="C27" s="22" t="s">
        <v>55</v>
      </c>
      <c r="D27" s="23">
        <v>160</v>
      </c>
      <c r="E27" s="23">
        <v>2024</v>
      </c>
      <c r="F27" s="29">
        <v>0.1</v>
      </c>
      <c r="G27" s="29">
        <v>0.11</v>
      </c>
      <c r="H27" s="29">
        <v>0.1</v>
      </c>
      <c r="I27" s="23">
        <v>160</v>
      </c>
      <c r="J27" s="23">
        <v>2024</v>
      </c>
      <c r="K27" s="23">
        <v>2024</v>
      </c>
      <c r="L27" s="2">
        <f t="shared" si="3"/>
        <v>95697254.910000011</v>
      </c>
      <c r="M27" s="3">
        <f t="shared" si="24"/>
        <v>0</v>
      </c>
      <c r="N27" s="3">
        <f t="shared" si="25"/>
        <v>0</v>
      </c>
      <c r="O27" s="3">
        <f t="shared" si="26"/>
        <v>95697254.910000011</v>
      </c>
      <c r="P27" s="3">
        <f t="shared" si="27"/>
        <v>0</v>
      </c>
      <c r="Q27" s="3">
        <f t="shared" si="28"/>
        <v>0</v>
      </c>
      <c r="R27" s="3">
        <f t="shared" si="29"/>
        <v>0</v>
      </c>
      <c r="S27" s="3">
        <f t="shared" si="30"/>
        <v>0</v>
      </c>
      <c r="T27" s="3">
        <f t="shared" si="31"/>
        <v>86127529.420000017</v>
      </c>
      <c r="U27" s="3">
        <f t="shared" si="32"/>
        <v>0</v>
      </c>
      <c r="V27" s="3">
        <f t="shared" si="33"/>
        <v>0</v>
      </c>
      <c r="W27" s="30"/>
      <c r="X27" s="30"/>
      <c r="Y27" s="20">
        <v>48805600</v>
      </c>
      <c r="Z27" s="30"/>
      <c r="AA27" s="30"/>
      <c r="AB27" s="30"/>
      <c r="AC27" s="30"/>
      <c r="AD27" s="30"/>
      <c r="AE27" s="30"/>
      <c r="AF27" s="21">
        <v>0.49</v>
      </c>
      <c r="AG27" s="8">
        <f t="shared" si="19"/>
        <v>0.4900000000428435</v>
      </c>
      <c r="AH27" s="31">
        <f>ROUND(Y27/(1-AF27),2)-AT27-Y27+0.01</f>
        <v>37321929.420000009</v>
      </c>
      <c r="AI27" s="4">
        <v>0.49</v>
      </c>
      <c r="AJ27" s="8"/>
      <c r="AK27" s="30"/>
      <c r="AL27" s="4">
        <v>0.43</v>
      </c>
      <c r="AM27" s="8"/>
      <c r="AN27" s="30"/>
      <c r="AO27" s="32"/>
      <c r="AP27" s="30"/>
      <c r="AQ27" s="32"/>
      <c r="AR27" s="30"/>
      <c r="AS27" s="8">
        <f t="shared" si="18"/>
        <v>9.9999999989550364E-2</v>
      </c>
      <c r="AT27" s="31">
        <f t="shared" si="35"/>
        <v>9569725.4900000002</v>
      </c>
      <c r="AU27" s="32"/>
      <c r="AV27" s="30"/>
      <c r="AW27" s="32"/>
      <c r="AX27" s="30"/>
      <c r="AY27" s="30"/>
      <c r="AZ27" s="30"/>
      <c r="BA27" s="30"/>
      <c r="BB27" s="30"/>
      <c r="BC27" s="30"/>
      <c r="BD27" s="30"/>
      <c r="BE27" s="30"/>
      <c r="BF27" s="30"/>
      <c r="BG27" s="30"/>
    </row>
    <row r="28" spans="1:59" ht="75" x14ac:dyDescent="0.25">
      <c r="A28" s="40">
        <v>18</v>
      </c>
      <c r="B28" s="22" t="s">
        <v>56</v>
      </c>
      <c r="C28" s="22" t="s">
        <v>57</v>
      </c>
      <c r="D28" s="23">
        <v>600</v>
      </c>
      <c r="E28" s="23">
        <v>2024</v>
      </c>
      <c r="F28" s="29">
        <v>0.1</v>
      </c>
      <c r="G28" s="29">
        <v>0.11</v>
      </c>
      <c r="H28" s="29">
        <v>0.1</v>
      </c>
      <c r="I28" s="23">
        <v>600</v>
      </c>
      <c r="J28" s="23">
        <v>2024</v>
      </c>
      <c r="K28" s="23">
        <v>2024</v>
      </c>
      <c r="L28" s="2">
        <f t="shared" si="3"/>
        <v>99321176.479999989</v>
      </c>
      <c r="M28" s="3">
        <f t="shared" si="24"/>
        <v>0</v>
      </c>
      <c r="N28" s="3">
        <f t="shared" si="25"/>
        <v>0</v>
      </c>
      <c r="O28" s="3">
        <f t="shared" si="26"/>
        <v>99321176.479999989</v>
      </c>
      <c r="P28" s="3">
        <f t="shared" si="27"/>
        <v>0</v>
      </c>
      <c r="Q28" s="3">
        <f t="shared" si="28"/>
        <v>0</v>
      </c>
      <c r="R28" s="3">
        <f t="shared" si="29"/>
        <v>0</v>
      </c>
      <c r="S28" s="3">
        <f t="shared" si="30"/>
        <v>0</v>
      </c>
      <c r="T28" s="3">
        <f t="shared" si="31"/>
        <v>89389058.829999983</v>
      </c>
      <c r="U28" s="3">
        <f t="shared" si="32"/>
        <v>0</v>
      </c>
      <c r="V28" s="3">
        <f t="shared" si="33"/>
        <v>0</v>
      </c>
      <c r="W28" s="30"/>
      <c r="X28" s="30"/>
      <c r="Y28" s="20">
        <v>50653800</v>
      </c>
      <c r="Z28" s="30"/>
      <c r="AA28" s="30"/>
      <c r="AB28" s="30"/>
      <c r="AC28" s="30"/>
      <c r="AD28" s="30"/>
      <c r="AE28" s="30"/>
      <c r="AF28" s="21">
        <v>0.49</v>
      </c>
      <c r="AG28" s="8">
        <f t="shared" si="19"/>
        <v>0.490000000048328</v>
      </c>
      <c r="AH28" s="31">
        <f>ROUND(Y28/(1-AF28),2)-AT28-Y28+0.01</f>
        <v>38735258.829999991</v>
      </c>
      <c r="AI28" s="4">
        <v>0.49</v>
      </c>
      <c r="AJ28" s="8"/>
      <c r="AK28" s="30"/>
      <c r="AL28" s="4">
        <v>0.43</v>
      </c>
      <c r="AM28" s="8"/>
      <c r="AN28" s="30"/>
      <c r="AO28" s="32"/>
      <c r="AP28" s="30"/>
      <c r="AQ28" s="32"/>
      <c r="AR28" s="30"/>
      <c r="AS28" s="8">
        <f t="shared" si="18"/>
        <v>0.1000000000201367</v>
      </c>
      <c r="AT28" s="31">
        <f t="shared" si="35"/>
        <v>9932117.6500000004</v>
      </c>
      <c r="AU28" s="32"/>
      <c r="AV28" s="30"/>
      <c r="AW28" s="32"/>
      <c r="AX28" s="30"/>
      <c r="AY28" s="30"/>
      <c r="AZ28" s="30"/>
      <c r="BA28" s="30"/>
      <c r="BB28" s="30"/>
      <c r="BC28" s="30"/>
      <c r="BD28" s="30"/>
      <c r="BE28" s="30"/>
      <c r="BF28" s="30"/>
      <c r="BG28" s="30"/>
    </row>
    <row r="29" spans="1:59" ht="75" x14ac:dyDescent="0.25">
      <c r="A29" s="40">
        <v>19</v>
      </c>
      <c r="B29" s="19" t="s">
        <v>58</v>
      </c>
      <c r="C29" s="19" t="s">
        <v>59</v>
      </c>
      <c r="D29" s="25">
        <v>640</v>
      </c>
      <c r="E29" s="25">
        <v>2024</v>
      </c>
      <c r="F29" s="29">
        <v>0.1</v>
      </c>
      <c r="G29" s="29">
        <v>0.11</v>
      </c>
      <c r="H29" s="29">
        <v>0.11</v>
      </c>
      <c r="I29" s="25">
        <v>640</v>
      </c>
      <c r="J29" s="25">
        <v>2024</v>
      </c>
      <c r="K29" s="25">
        <v>2024</v>
      </c>
      <c r="L29" s="2">
        <f t="shared" si="3"/>
        <v>141300000</v>
      </c>
      <c r="M29" s="3">
        <f t="shared" si="24"/>
        <v>0</v>
      </c>
      <c r="N29" s="3">
        <f t="shared" si="25"/>
        <v>0</v>
      </c>
      <c r="O29" s="3">
        <f t="shared" si="26"/>
        <v>141300000</v>
      </c>
      <c r="P29" s="3">
        <f t="shared" si="27"/>
        <v>0</v>
      </c>
      <c r="Q29" s="3">
        <f t="shared" si="28"/>
        <v>0</v>
      </c>
      <c r="R29" s="3">
        <f t="shared" si="29"/>
        <v>0</v>
      </c>
      <c r="S29" s="3">
        <f t="shared" si="30"/>
        <v>0</v>
      </c>
      <c r="T29" s="3">
        <f t="shared" si="31"/>
        <v>127170000</v>
      </c>
      <c r="U29" s="3">
        <f t="shared" si="32"/>
        <v>0</v>
      </c>
      <c r="V29" s="3">
        <f t="shared" si="33"/>
        <v>0</v>
      </c>
      <c r="W29" s="30"/>
      <c r="X29" s="30"/>
      <c r="Y29" s="20">
        <v>72063000</v>
      </c>
      <c r="Z29" s="30"/>
      <c r="AA29" s="30"/>
      <c r="AB29" s="30"/>
      <c r="AC29" s="30"/>
      <c r="AD29" s="30"/>
      <c r="AE29" s="30"/>
      <c r="AF29" s="21">
        <v>0.49</v>
      </c>
      <c r="AG29" s="8">
        <f t="shared" si="19"/>
        <v>0.49</v>
      </c>
      <c r="AH29" s="31">
        <f>ROUND(Y29/(1-AF29),2)-AT29-Y29</f>
        <v>55107000</v>
      </c>
      <c r="AI29" s="4">
        <v>0.49</v>
      </c>
      <c r="AJ29" s="8"/>
      <c r="AK29" s="30"/>
      <c r="AL29" s="4">
        <v>0.43</v>
      </c>
      <c r="AM29" s="8"/>
      <c r="AN29" s="30"/>
      <c r="AO29" s="32"/>
      <c r="AP29" s="30"/>
      <c r="AQ29" s="32"/>
      <c r="AR29" s="30"/>
      <c r="AS29" s="8">
        <f t="shared" si="18"/>
        <v>0.1</v>
      </c>
      <c r="AT29" s="31">
        <f t="shared" si="35"/>
        <v>14130000</v>
      </c>
      <c r="AU29" s="32"/>
      <c r="AV29" s="30"/>
      <c r="AW29" s="32"/>
      <c r="AX29" s="30"/>
      <c r="AY29" s="30"/>
      <c r="AZ29" s="30"/>
      <c r="BA29" s="30"/>
      <c r="BB29" s="30"/>
      <c r="BC29" s="30"/>
      <c r="BD29" s="30"/>
      <c r="BE29" s="30"/>
      <c r="BF29" s="30"/>
      <c r="BG29" s="30"/>
    </row>
    <row r="30" spans="1:59" ht="75" x14ac:dyDescent="0.25">
      <c r="A30" s="40">
        <v>20</v>
      </c>
      <c r="B30" s="24" t="s">
        <v>60</v>
      </c>
      <c r="C30" s="22" t="s">
        <v>61</v>
      </c>
      <c r="D30" s="23">
        <v>200</v>
      </c>
      <c r="E30" s="23">
        <v>2025</v>
      </c>
      <c r="F30" s="29">
        <v>0.13</v>
      </c>
      <c r="G30" s="29">
        <v>0.05</v>
      </c>
      <c r="H30" s="29">
        <v>0.05</v>
      </c>
      <c r="I30" s="23">
        <v>200</v>
      </c>
      <c r="J30" s="23">
        <v>2025</v>
      </c>
      <c r="K30" s="23">
        <v>2025</v>
      </c>
      <c r="L30" s="2">
        <f t="shared" si="3"/>
        <v>88163265.310000002</v>
      </c>
      <c r="M30" s="3">
        <f t="shared" si="24"/>
        <v>0</v>
      </c>
      <c r="N30" s="3">
        <f t="shared" si="25"/>
        <v>0</v>
      </c>
      <c r="O30" s="3">
        <f>Y30+AH30+AT30</f>
        <v>0</v>
      </c>
      <c r="P30" s="3">
        <f t="shared" si="27"/>
        <v>88163265.310000002</v>
      </c>
      <c r="Q30" s="3">
        <f t="shared" si="28"/>
        <v>0</v>
      </c>
      <c r="R30" s="3">
        <f t="shared" si="29"/>
        <v>0</v>
      </c>
      <c r="S30" s="3">
        <f t="shared" si="30"/>
        <v>0</v>
      </c>
      <c r="T30" s="3">
        <f>Y30+AH30</f>
        <v>0</v>
      </c>
      <c r="U30" s="3">
        <f t="shared" si="32"/>
        <v>83755102.030000001</v>
      </c>
      <c r="V30" s="3">
        <f t="shared" si="33"/>
        <v>0</v>
      </c>
      <c r="W30" s="30"/>
      <c r="X30" s="30"/>
      <c r="Y30" s="20"/>
      <c r="Z30" s="20">
        <v>43200000</v>
      </c>
      <c r="AA30" s="20"/>
      <c r="AB30" s="30"/>
      <c r="AC30" s="30"/>
      <c r="AD30" s="30"/>
      <c r="AE30" s="30"/>
      <c r="AF30" s="4">
        <v>0.51</v>
      </c>
      <c r="AG30" s="8"/>
      <c r="AH30" s="30"/>
      <c r="AI30" s="21">
        <v>0.51</v>
      </c>
      <c r="AJ30" s="8">
        <f t="shared" ref="AJ30:AJ32" si="36">(AK30+AV30)/P30</f>
        <v>0.51000000002155099</v>
      </c>
      <c r="AK30" s="31">
        <f>ROUND(Z30/(1-AI30),2)-AV30-Z30</f>
        <v>40555102.030000001</v>
      </c>
      <c r="AL30" s="4">
        <v>0.43</v>
      </c>
      <c r="AM30" s="8"/>
      <c r="AN30" s="30"/>
      <c r="AO30" s="32"/>
      <c r="AP30" s="30"/>
      <c r="AQ30" s="32"/>
      <c r="AR30" s="30"/>
      <c r="AS30" s="32"/>
      <c r="AT30" s="30"/>
      <c r="AU30" s="9">
        <f t="shared" ref="AU30:AU32" si="37">IF(P30=0,0,AV30/P30)</f>
        <v>5.0000000164467581E-2</v>
      </c>
      <c r="AV30" s="31">
        <f>ROUND(Z30/(1-AI30)*H30,2)+0.01</f>
        <v>4408163.2799999993</v>
      </c>
      <c r="AW30" s="32"/>
      <c r="AX30" s="30"/>
      <c r="AY30" s="30"/>
      <c r="AZ30" s="30"/>
      <c r="BA30" s="30"/>
      <c r="BB30" s="30"/>
      <c r="BC30" s="30"/>
      <c r="BD30" s="30"/>
      <c r="BE30" s="30"/>
      <c r="BF30" s="30"/>
      <c r="BG30" s="30"/>
    </row>
    <row r="31" spans="1:59" ht="75" x14ac:dyDescent="0.25">
      <c r="A31" s="40">
        <v>21</v>
      </c>
      <c r="B31" s="26" t="s">
        <v>62</v>
      </c>
      <c r="C31" s="26" t="s">
        <v>63</v>
      </c>
      <c r="D31" s="27">
        <v>162</v>
      </c>
      <c r="E31" s="27">
        <v>2025</v>
      </c>
      <c r="F31" s="29">
        <v>0.11</v>
      </c>
      <c r="G31" s="29">
        <v>0.11</v>
      </c>
      <c r="H31" s="29">
        <v>0.13</v>
      </c>
      <c r="I31" s="27">
        <v>162</v>
      </c>
      <c r="J31" s="27">
        <v>2025</v>
      </c>
      <c r="K31" s="27">
        <v>2025</v>
      </c>
      <c r="L31" s="2">
        <f t="shared" si="3"/>
        <v>64752857.150000006</v>
      </c>
      <c r="M31" s="3">
        <f t="shared" si="24"/>
        <v>0</v>
      </c>
      <c r="N31" s="3">
        <f t="shared" si="25"/>
        <v>0</v>
      </c>
      <c r="O31" s="3">
        <f>Y31+AH31+AT31</f>
        <v>0</v>
      </c>
      <c r="P31" s="3">
        <f>Z31+AK31+AV31</f>
        <v>64752857.150000006</v>
      </c>
      <c r="Q31" s="3">
        <f t="shared" si="28"/>
        <v>0</v>
      </c>
      <c r="R31" s="3">
        <f t="shared" si="29"/>
        <v>0</v>
      </c>
      <c r="S31" s="3">
        <f t="shared" si="30"/>
        <v>0</v>
      </c>
      <c r="T31" s="3">
        <f>Y31+AH31</f>
        <v>0</v>
      </c>
      <c r="U31" s="3">
        <f t="shared" si="32"/>
        <v>57630042.850000009</v>
      </c>
      <c r="V31" s="3">
        <f t="shared" si="33"/>
        <v>0</v>
      </c>
      <c r="W31" s="30"/>
      <c r="X31" s="30"/>
      <c r="Y31" s="20"/>
      <c r="Z31" s="20">
        <v>31728900</v>
      </c>
      <c r="AA31" s="20"/>
      <c r="AB31" s="30"/>
      <c r="AC31" s="30"/>
      <c r="AD31" s="30"/>
      <c r="AE31" s="30"/>
      <c r="AF31" s="4">
        <v>0.51</v>
      </c>
      <c r="AG31" s="8"/>
      <c r="AH31" s="30"/>
      <c r="AI31" s="21">
        <v>0.51</v>
      </c>
      <c r="AJ31" s="8">
        <f t="shared" si="36"/>
        <v>0.51000000005405166</v>
      </c>
      <c r="AK31" s="31">
        <f>ROUND(Z31/(1-AI31),2)-AV31-Z31+0.01</f>
        <v>25901142.850000005</v>
      </c>
      <c r="AL31" s="4">
        <v>0.43</v>
      </c>
      <c r="AM31" s="8"/>
      <c r="AN31" s="30"/>
      <c r="AO31" s="32"/>
      <c r="AP31" s="30"/>
      <c r="AQ31" s="32"/>
      <c r="AR31" s="30"/>
      <c r="AS31" s="32"/>
      <c r="AT31" s="30"/>
      <c r="AU31" s="9">
        <f t="shared" si="37"/>
        <v>0.11000000020848499</v>
      </c>
      <c r="AV31" s="31">
        <f>ROUND(Z31/(1-AI31)*G31,2)+0.01</f>
        <v>7122814.2999999998</v>
      </c>
      <c r="AW31" s="32"/>
      <c r="AX31" s="30"/>
      <c r="AY31" s="30"/>
      <c r="AZ31" s="30"/>
      <c r="BA31" s="30"/>
      <c r="BB31" s="30"/>
      <c r="BC31" s="30"/>
      <c r="BD31" s="30"/>
      <c r="BE31" s="30"/>
      <c r="BF31" s="30"/>
      <c r="BG31" s="30"/>
    </row>
    <row r="32" spans="1:59" ht="75" x14ac:dyDescent="0.25">
      <c r="A32" s="40">
        <v>22</v>
      </c>
      <c r="B32" s="22" t="s">
        <v>64</v>
      </c>
      <c r="C32" s="22" t="s">
        <v>65</v>
      </c>
      <c r="D32" s="22">
        <v>400</v>
      </c>
      <c r="E32" s="22">
        <v>2025</v>
      </c>
      <c r="F32" s="29">
        <v>0.11</v>
      </c>
      <c r="G32" s="29">
        <v>0.12</v>
      </c>
      <c r="H32" s="29">
        <v>0.1</v>
      </c>
      <c r="I32" s="22">
        <v>400</v>
      </c>
      <c r="J32" s="22">
        <v>2025</v>
      </c>
      <c r="K32" s="22">
        <v>2025</v>
      </c>
      <c r="L32" s="2">
        <f t="shared" si="3"/>
        <v>109115102.05000001</v>
      </c>
      <c r="M32" s="3">
        <f t="shared" si="24"/>
        <v>0</v>
      </c>
      <c r="N32" s="3">
        <f t="shared" si="25"/>
        <v>0</v>
      </c>
      <c r="O32" s="3">
        <f>Y32+AH32+AT32</f>
        <v>0</v>
      </c>
      <c r="P32" s="3">
        <f t="shared" ref="P32:P35" si="38">Z32+AK32+AV32</f>
        <v>109115102.05000001</v>
      </c>
      <c r="Q32" s="3">
        <f t="shared" si="28"/>
        <v>0</v>
      </c>
      <c r="R32" s="3">
        <f t="shared" si="29"/>
        <v>0</v>
      </c>
      <c r="S32" s="3">
        <f t="shared" si="30"/>
        <v>0</v>
      </c>
      <c r="T32" s="3">
        <f>Y32+AH32</f>
        <v>0</v>
      </c>
      <c r="U32" s="3">
        <f>Z32+AK32</f>
        <v>96021289.800000012</v>
      </c>
      <c r="V32" s="3">
        <f t="shared" si="33"/>
        <v>0</v>
      </c>
      <c r="W32" s="30"/>
      <c r="X32" s="30"/>
      <c r="Y32" s="20"/>
      <c r="Z32" s="20">
        <v>53466400</v>
      </c>
      <c r="AA32" s="20"/>
      <c r="AB32" s="30"/>
      <c r="AC32" s="30"/>
      <c r="AD32" s="30"/>
      <c r="AE32" s="30"/>
      <c r="AF32" s="4">
        <v>0.51</v>
      </c>
      <c r="AG32" s="8"/>
      <c r="AH32" s="30"/>
      <c r="AI32" s="21">
        <v>0.51</v>
      </c>
      <c r="AJ32" s="8">
        <f t="shared" si="36"/>
        <v>0.5100000000412408</v>
      </c>
      <c r="AK32" s="31">
        <f>ROUND(Z32/(1-AI32),2)-AV32-Z32+0.01</f>
        <v>42554889.800000004</v>
      </c>
      <c r="AL32" s="4">
        <v>0.43</v>
      </c>
      <c r="AM32" s="8"/>
      <c r="AN32" s="30"/>
      <c r="AO32" s="32"/>
      <c r="AP32" s="30"/>
      <c r="AQ32" s="32"/>
      <c r="AR32" s="30"/>
      <c r="AS32" s="32"/>
      <c r="AT32" s="30"/>
      <c r="AU32" s="9">
        <f t="shared" si="37"/>
        <v>0.12000000003665852</v>
      </c>
      <c r="AV32" s="31">
        <f>ROUND(Z32/(1-AI32)*G32,2)+0.01</f>
        <v>13093812.25</v>
      </c>
      <c r="AW32" s="32"/>
      <c r="AX32" s="30"/>
      <c r="AY32" s="30"/>
      <c r="AZ32" s="30"/>
      <c r="BA32" s="30"/>
      <c r="BB32" s="30"/>
      <c r="BC32" s="30"/>
      <c r="BD32" s="30"/>
      <c r="BE32" s="30"/>
      <c r="BF32" s="30"/>
      <c r="BG32" s="30"/>
    </row>
    <row r="33" spans="1:59" ht="75" x14ac:dyDescent="0.25">
      <c r="A33" s="40">
        <v>23</v>
      </c>
      <c r="B33" s="22" t="s">
        <v>66</v>
      </c>
      <c r="C33" s="22" t="s">
        <v>67</v>
      </c>
      <c r="D33" s="22">
        <v>150</v>
      </c>
      <c r="E33" s="22">
        <v>2026</v>
      </c>
      <c r="F33" s="29">
        <v>0.1</v>
      </c>
      <c r="G33" s="29">
        <v>0.1</v>
      </c>
      <c r="H33" s="29">
        <v>0.1</v>
      </c>
      <c r="I33" s="22">
        <v>150</v>
      </c>
      <c r="J33" s="22">
        <v>2026</v>
      </c>
      <c r="K33" s="22">
        <v>2026</v>
      </c>
      <c r="L33" s="2">
        <f t="shared" si="3"/>
        <v>127434418.61</v>
      </c>
      <c r="M33" s="3">
        <f t="shared" si="24"/>
        <v>0</v>
      </c>
      <c r="N33" s="3">
        <f t="shared" si="25"/>
        <v>0</v>
      </c>
      <c r="O33" s="3">
        <f t="shared" si="26"/>
        <v>0</v>
      </c>
      <c r="P33" s="3">
        <f t="shared" si="38"/>
        <v>0</v>
      </c>
      <c r="Q33" s="3">
        <f>V33+AX33</f>
        <v>127434418.61</v>
      </c>
      <c r="R33" s="3">
        <f t="shared" si="29"/>
        <v>0</v>
      </c>
      <c r="S33" s="3">
        <f t="shared" si="30"/>
        <v>0</v>
      </c>
      <c r="T33" s="3">
        <f t="shared" si="31"/>
        <v>0</v>
      </c>
      <c r="U33" s="3">
        <f t="shared" si="32"/>
        <v>0</v>
      </c>
      <c r="V33" s="3">
        <f>AA33+AN33</f>
        <v>114690976.65000001</v>
      </c>
      <c r="W33" s="30"/>
      <c r="X33" s="30"/>
      <c r="Y33" s="20"/>
      <c r="Z33" s="30"/>
      <c r="AA33" s="20">
        <v>54796800</v>
      </c>
      <c r="AB33" s="30"/>
      <c r="AC33" s="30"/>
      <c r="AD33" s="30"/>
      <c r="AE33" s="30"/>
      <c r="AF33" s="4">
        <v>0.51</v>
      </c>
      <c r="AG33" s="8"/>
      <c r="AH33" s="30"/>
      <c r="AI33" s="4">
        <v>0.49</v>
      </c>
      <c r="AJ33" s="8"/>
      <c r="AK33" s="31"/>
      <c r="AL33" s="4">
        <v>0.56999999999999995</v>
      </c>
      <c r="AM33" s="8">
        <f>(AN33+AX33)/Q33</f>
        <v>0.57000000001804851</v>
      </c>
      <c r="AN33" s="31">
        <f>ROUND(AA33/(1-AL33),2)-AX33-AA33+0.01</f>
        <v>59894176.649999999</v>
      </c>
      <c r="AO33" s="32"/>
      <c r="AP33" s="30"/>
      <c r="AQ33" s="32"/>
      <c r="AR33" s="30"/>
      <c r="AS33" s="32"/>
      <c r="AT33" s="30"/>
      <c r="AU33" s="32"/>
      <c r="AV33" s="30"/>
      <c r="AW33" s="33">
        <f>IF(Q33=0,0,AX33/Q33)</f>
        <v>0.10000000077687017</v>
      </c>
      <c r="AX33" s="31">
        <f>ROUND(AA33/(1-AL33)*H33,2)+0.1</f>
        <v>12743441.959999999</v>
      </c>
      <c r="AY33" s="30"/>
      <c r="AZ33" s="30"/>
      <c r="BA33" s="30"/>
      <c r="BB33" s="30"/>
      <c r="BC33" s="30"/>
      <c r="BD33" s="30"/>
      <c r="BE33" s="30"/>
      <c r="BF33" s="30"/>
      <c r="BG33" s="30"/>
    </row>
    <row r="34" spans="1:59" ht="75" x14ac:dyDescent="0.25">
      <c r="A34" s="40">
        <v>24</v>
      </c>
      <c r="B34" s="22" t="s">
        <v>68</v>
      </c>
      <c r="C34" s="22" t="s">
        <v>69</v>
      </c>
      <c r="D34" s="23">
        <v>850</v>
      </c>
      <c r="E34" s="23">
        <v>2026</v>
      </c>
      <c r="F34" s="29">
        <v>0.13</v>
      </c>
      <c r="G34" s="29">
        <v>0.05</v>
      </c>
      <c r="H34" s="29">
        <v>0.05</v>
      </c>
      <c r="I34" s="23">
        <v>850</v>
      </c>
      <c r="J34" s="23">
        <v>2026</v>
      </c>
      <c r="K34" s="23">
        <v>2026</v>
      </c>
      <c r="L34" s="2">
        <f t="shared" si="3"/>
        <v>144620930.24000001</v>
      </c>
      <c r="M34" s="3">
        <f t="shared" si="24"/>
        <v>0</v>
      </c>
      <c r="N34" s="3">
        <f t="shared" si="25"/>
        <v>0</v>
      </c>
      <c r="O34" s="3">
        <f t="shared" si="26"/>
        <v>0</v>
      </c>
      <c r="P34" s="3">
        <f t="shared" si="38"/>
        <v>0</v>
      </c>
      <c r="Q34" s="3">
        <f t="shared" ref="Q34:Q35" si="39">V34+AX34</f>
        <v>144620930.24000001</v>
      </c>
      <c r="R34" s="3">
        <f t="shared" si="29"/>
        <v>0</v>
      </c>
      <c r="S34" s="3">
        <f t="shared" si="30"/>
        <v>0</v>
      </c>
      <c r="T34" s="3">
        <f t="shared" si="31"/>
        <v>0</v>
      </c>
      <c r="U34" s="3">
        <f t="shared" si="32"/>
        <v>0</v>
      </c>
      <c r="V34" s="3">
        <f t="shared" ref="V34:V35" si="40">AA34+AN34</f>
        <v>137389883.73000002</v>
      </c>
      <c r="W34" s="30"/>
      <c r="X34" s="30"/>
      <c r="Y34" s="20"/>
      <c r="Z34" s="30"/>
      <c r="AA34" s="20">
        <v>62187000</v>
      </c>
      <c r="AB34" s="30"/>
      <c r="AC34" s="30"/>
      <c r="AD34" s="30"/>
      <c r="AE34" s="30"/>
      <c r="AF34" s="4">
        <v>0.51</v>
      </c>
      <c r="AG34" s="8"/>
      <c r="AH34" s="30"/>
      <c r="AI34" s="4">
        <v>0.49</v>
      </c>
      <c r="AJ34" s="8"/>
      <c r="AK34" s="31"/>
      <c r="AL34" s="4">
        <v>0.56999999999999995</v>
      </c>
      <c r="AM34" s="8">
        <f t="shared" ref="AM34:AM35" si="41">(AN34+AX34)/Q34</f>
        <v>0.57000000002212681</v>
      </c>
      <c r="AN34" s="31">
        <f>ROUND(AA34/(1-AL34),2)-AX34-AA34+0.01</f>
        <v>75202883.730000004</v>
      </c>
      <c r="AO34" s="32"/>
      <c r="AP34" s="30"/>
      <c r="AQ34" s="32"/>
      <c r="AR34" s="30"/>
      <c r="AS34" s="32"/>
      <c r="AT34" s="30"/>
      <c r="AU34" s="32"/>
      <c r="AV34" s="30"/>
      <c r="AW34" s="33">
        <f t="shared" ref="AW34:AW35" si="42">IF(Q34=0,0,AX34/Q34)</f>
        <v>4.9999999986170739E-2</v>
      </c>
      <c r="AX34" s="31">
        <f t="shared" ref="AX34:AX35" si="43">ROUND(AA34/(1-AL34)*H34,2)</f>
        <v>7231046.5099999998</v>
      </c>
      <c r="AY34" s="30"/>
      <c r="AZ34" s="30"/>
      <c r="BA34" s="30"/>
      <c r="BB34" s="30"/>
      <c r="BC34" s="30"/>
      <c r="BD34" s="30"/>
      <c r="BE34" s="30"/>
      <c r="BF34" s="30"/>
      <c r="BG34" s="30"/>
    </row>
    <row r="35" spans="1:59" ht="90" x14ac:dyDescent="0.25">
      <c r="A35" s="40">
        <v>25</v>
      </c>
      <c r="B35" s="22" t="s">
        <v>70</v>
      </c>
      <c r="C35" s="22" t="s">
        <v>71</v>
      </c>
      <c r="D35" s="23">
        <v>850</v>
      </c>
      <c r="E35" s="23">
        <v>2026</v>
      </c>
      <c r="F35" s="29">
        <v>0.09</v>
      </c>
      <c r="G35" s="29">
        <v>0.09</v>
      </c>
      <c r="H35" s="29">
        <v>0.09</v>
      </c>
      <c r="I35" s="23">
        <v>850</v>
      </c>
      <c r="J35" s="23">
        <v>2026</v>
      </c>
      <c r="K35" s="23">
        <v>2026</v>
      </c>
      <c r="L35" s="2">
        <f t="shared" si="3"/>
        <v>144620930.24000001</v>
      </c>
      <c r="M35" s="3">
        <f t="shared" si="24"/>
        <v>0</v>
      </c>
      <c r="N35" s="3">
        <f t="shared" si="25"/>
        <v>0</v>
      </c>
      <c r="O35" s="3">
        <f t="shared" si="26"/>
        <v>0</v>
      </c>
      <c r="P35" s="3">
        <f t="shared" si="38"/>
        <v>0</v>
      </c>
      <c r="Q35" s="3">
        <f t="shared" si="39"/>
        <v>144620930.24000001</v>
      </c>
      <c r="R35" s="3">
        <f t="shared" si="29"/>
        <v>0</v>
      </c>
      <c r="S35" s="3">
        <f t="shared" si="30"/>
        <v>0</v>
      </c>
      <c r="T35" s="3">
        <f t="shared" si="31"/>
        <v>0</v>
      </c>
      <c r="U35" s="3">
        <f t="shared" si="32"/>
        <v>0</v>
      </c>
      <c r="V35" s="3">
        <f t="shared" si="40"/>
        <v>131605046.52</v>
      </c>
      <c r="W35" s="30"/>
      <c r="X35" s="30"/>
      <c r="Y35" s="20"/>
      <c r="Z35" s="30"/>
      <c r="AA35" s="20">
        <v>62187000</v>
      </c>
      <c r="AB35" s="30"/>
      <c r="AC35" s="30"/>
      <c r="AD35" s="30"/>
      <c r="AE35" s="30"/>
      <c r="AF35" s="4">
        <v>0.51</v>
      </c>
      <c r="AG35" s="8"/>
      <c r="AH35" s="30"/>
      <c r="AI35" s="4">
        <v>0.49</v>
      </c>
      <c r="AJ35" s="8"/>
      <c r="AK35" s="31"/>
      <c r="AL35" s="4">
        <v>0.56999999999999995</v>
      </c>
      <c r="AM35" s="8">
        <f t="shared" si="41"/>
        <v>0.5700000000221267</v>
      </c>
      <c r="AN35" s="31">
        <f>ROUND(AA35/(1-AL35),2)-AX35-AA35+0.01</f>
        <v>69418046.519999996</v>
      </c>
      <c r="AO35" s="32"/>
      <c r="AP35" s="30"/>
      <c r="AQ35" s="32"/>
      <c r="AR35" s="30"/>
      <c r="AS35" s="32"/>
      <c r="AT35" s="30"/>
      <c r="AU35" s="32"/>
      <c r="AV35" s="30"/>
      <c r="AW35" s="33">
        <f t="shared" si="42"/>
        <v>8.9999999988936596E-2</v>
      </c>
      <c r="AX35" s="31">
        <f t="shared" si="43"/>
        <v>13015883.720000001</v>
      </c>
      <c r="AY35" s="30"/>
      <c r="AZ35" s="30"/>
      <c r="BA35" s="30"/>
      <c r="BB35" s="30"/>
      <c r="BC35" s="30"/>
      <c r="BD35" s="30"/>
      <c r="BE35" s="30"/>
      <c r="BF35" s="30"/>
      <c r="BG35" s="30"/>
    </row>
    <row r="36" spans="1:59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5">
        <f>SUM(L24:L35)</f>
        <v>1247648680.1000001</v>
      </c>
      <c r="M36" s="35">
        <f t="shared" ref="M36:BG36" si="44">SUM(M24:M35)</f>
        <v>0</v>
      </c>
      <c r="N36" s="35">
        <f t="shared" si="44"/>
        <v>0</v>
      </c>
      <c r="O36" s="35">
        <f t="shared" si="44"/>
        <v>568941176.5</v>
      </c>
      <c r="P36" s="35">
        <f t="shared" si="44"/>
        <v>262031224.51000002</v>
      </c>
      <c r="Q36" s="35">
        <f t="shared" si="44"/>
        <v>416676279.09000003</v>
      </c>
      <c r="R36" s="35">
        <f t="shared" si="44"/>
        <v>0</v>
      </c>
      <c r="S36" s="35">
        <f t="shared" si="44"/>
        <v>0</v>
      </c>
      <c r="T36" s="35">
        <f t="shared" si="44"/>
        <v>517789276.5</v>
      </c>
      <c r="U36" s="35">
        <f t="shared" si="44"/>
        <v>237406434.68000001</v>
      </c>
      <c r="V36" s="35">
        <f t="shared" si="44"/>
        <v>383685906.90000004</v>
      </c>
      <c r="W36" s="35">
        <f t="shared" si="44"/>
        <v>0</v>
      </c>
      <c r="X36" s="35">
        <f t="shared" si="44"/>
        <v>0</v>
      </c>
      <c r="Y36" s="35">
        <f t="shared" si="44"/>
        <v>290160000</v>
      </c>
      <c r="Z36" s="35">
        <f t="shared" si="44"/>
        <v>128395300</v>
      </c>
      <c r="AA36" s="35">
        <f t="shared" si="44"/>
        <v>179170800</v>
      </c>
      <c r="AB36" s="35">
        <f t="shared" si="44"/>
        <v>0</v>
      </c>
      <c r="AC36" s="35">
        <f t="shared" si="44"/>
        <v>0</v>
      </c>
      <c r="AD36" s="35">
        <f t="shared" si="44"/>
        <v>0</v>
      </c>
      <c r="AE36" s="35">
        <f t="shared" si="44"/>
        <v>0</v>
      </c>
      <c r="AF36" s="35"/>
      <c r="AG36" s="36"/>
      <c r="AH36" s="35">
        <f t="shared" si="44"/>
        <v>227629276.5</v>
      </c>
      <c r="AI36" s="35"/>
      <c r="AJ36" s="35"/>
      <c r="AK36" s="35">
        <f t="shared" si="44"/>
        <v>109011134.68000001</v>
      </c>
      <c r="AL36" s="35"/>
      <c r="AM36" s="35"/>
      <c r="AN36" s="35">
        <f t="shared" si="44"/>
        <v>204515106.89999998</v>
      </c>
      <c r="AO36" s="36"/>
      <c r="AP36" s="35">
        <f t="shared" si="44"/>
        <v>0</v>
      </c>
      <c r="AQ36" s="36"/>
      <c r="AR36" s="35">
        <f t="shared" si="44"/>
        <v>0</v>
      </c>
      <c r="AS36" s="36"/>
      <c r="AT36" s="35">
        <f t="shared" si="44"/>
        <v>51151900</v>
      </c>
      <c r="AU36" s="35"/>
      <c r="AV36" s="35">
        <f t="shared" si="44"/>
        <v>24624789.829999998</v>
      </c>
      <c r="AW36" s="35"/>
      <c r="AX36" s="35">
        <f t="shared" si="44"/>
        <v>32990372.189999998</v>
      </c>
      <c r="AY36" s="35">
        <f t="shared" si="44"/>
        <v>0</v>
      </c>
      <c r="AZ36" s="35">
        <f t="shared" si="44"/>
        <v>0</v>
      </c>
      <c r="BA36" s="35">
        <f t="shared" si="44"/>
        <v>0</v>
      </c>
      <c r="BB36" s="35">
        <f t="shared" si="44"/>
        <v>0</v>
      </c>
      <c r="BC36" s="35">
        <f t="shared" si="44"/>
        <v>0</v>
      </c>
      <c r="BD36" s="35">
        <f t="shared" si="44"/>
        <v>0</v>
      </c>
      <c r="BE36" s="35">
        <f t="shared" si="44"/>
        <v>0</v>
      </c>
      <c r="BF36" s="35">
        <f t="shared" si="44"/>
        <v>0</v>
      </c>
      <c r="BG36" s="35">
        <f t="shared" si="44"/>
        <v>0</v>
      </c>
    </row>
    <row r="37" spans="1:59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7">
        <f>L36+L23</f>
        <v>2775853908.0600004</v>
      </c>
      <c r="M37" s="37">
        <f t="shared" ref="M37:BG37" si="45">M36+M23</f>
        <v>419602549.04000002</v>
      </c>
      <c r="N37" s="37">
        <f t="shared" si="45"/>
        <v>278769617.65999997</v>
      </c>
      <c r="O37" s="37">
        <f t="shared" si="45"/>
        <v>983857707.13</v>
      </c>
      <c r="P37" s="37">
        <f t="shared" si="45"/>
        <v>676947755.13999999</v>
      </c>
      <c r="Q37" s="37">
        <f t="shared" si="45"/>
        <v>416676279.09000003</v>
      </c>
      <c r="R37" s="37">
        <f t="shared" si="45"/>
        <v>373968635.32000005</v>
      </c>
      <c r="S37" s="37">
        <f t="shared" si="45"/>
        <v>249678660.81</v>
      </c>
      <c r="T37" s="37">
        <f t="shared" si="45"/>
        <v>890103845.88</v>
      </c>
      <c r="U37" s="37">
        <f t="shared" si="45"/>
        <v>605970412.21000004</v>
      </c>
      <c r="V37" s="37">
        <f t="shared" si="45"/>
        <v>383685906.90000004</v>
      </c>
      <c r="W37" s="37">
        <f t="shared" si="45"/>
        <v>213997300</v>
      </c>
      <c r="X37" s="37">
        <f t="shared" si="45"/>
        <v>119251100</v>
      </c>
      <c r="Y37" s="37">
        <f t="shared" si="45"/>
        <v>493469100</v>
      </c>
      <c r="Z37" s="37">
        <f t="shared" si="45"/>
        <v>331704400</v>
      </c>
      <c r="AA37" s="37">
        <f t="shared" si="45"/>
        <v>179170800</v>
      </c>
      <c r="AB37" s="37">
        <f t="shared" si="45"/>
        <v>0</v>
      </c>
      <c r="AC37" s="37">
        <f t="shared" si="45"/>
        <v>159971335.31999999</v>
      </c>
      <c r="AD37" s="37">
        <f t="shared" si="45"/>
        <v>0</v>
      </c>
      <c r="AE37" s="37">
        <f t="shared" si="45"/>
        <v>130427560.80999999</v>
      </c>
      <c r="AF37" s="37"/>
      <c r="AG37" s="37"/>
      <c r="AH37" s="37">
        <f t="shared" si="45"/>
        <v>396634745.88</v>
      </c>
      <c r="AI37" s="37"/>
      <c r="AJ37" s="37"/>
      <c r="AK37" s="37">
        <f t="shared" si="45"/>
        <v>274266012.21000004</v>
      </c>
      <c r="AL37" s="37"/>
      <c r="AM37" s="37"/>
      <c r="AN37" s="37">
        <f t="shared" si="45"/>
        <v>204515106.89999998</v>
      </c>
      <c r="AO37" s="36"/>
      <c r="AP37" s="37">
        <f t="shared" si="45"/>
        <v>45633913.719999999</v>
      </c>
      <c r="AQ37" s="36"/>
      <c r="AR37" s="37">
        <f t="shared" si="45"/>
        <v>29090956.850000001</v>
      </c>
      <c r="AS37" s="36"/>
      <c r="AT37" s="37">
        <f t="shared" si="45"/>
        <v>93753861.25</v>
      </c>
      <c r="AU37" s="37"/>
      <c r="AV37" s="37">
        <f t="shared" si="45"/>
        <v>70977342.930000007</v>
      </c>
      <c r="AW37" s="37"/>
      <c r="AX37" s="37">
        <f t="shared" si="45"/>
        <v>32990372.189999998</v>
      </c>
      <c r="AY37" s="37" t="e">
        <f t="shared" si="45"/>
        <v>#REF!</v>
      </c>
      <c r="AZ37" s="37" t="e">
        <f t="shared" si="45"/>
        <v>#REF!</v>
      </c>
      <c r="BA37" s="37" t="e">
        <f t="shared" si="45"/>
        <v>#REF!</v>
      </c>
      <c r="BB37" s="37" t="e">
        <f t="shared" si="45"/>
        <v>#REF!</v>
      </c>
      <c r="BC37" s="37" t="e">
        <f t="shared" si="45"/>
        <v>#REF!</v>
      </c>
      <c r="BD37" s="37" t="e">
        <f t="shared" si="45"/>
        <v>#REF!</v>
      </c>
      <c r="BE37" s="37" t="e">
        <f t="shared" si="45"/>
        <v>#REF!</v>
      </c>
      <c r="BF37" s="37" t="e">
        <f t="shared" si="45"/>
        <v>#REF!</v>
      </c>
      <c r="BG37" s="37" t="e">
        <f t="shared" si="45"/>
        <v>#REF!</v>
      </c>
    </row>
  </sheetData>
  <mergeCells count="34">
    <mergeCell ref="AB7:AC7"/>
    <mergeCell ref="AD7:AE7"/>
    <mergeCell ref="AY5:BG5"/>
    <mergeCell ref="B6:B8"/>
    <mergeCell ref="C6:C8"/>
    <mergeCell ref="D6:H6"/>
    <mergeCell ref="I6:I8"/>
    <mergeCell ref="L6:Q7"/>
    <mergeCell ref="R6:V6"/>
    <mergeCell ref="W6:AA6"/>
    <mergeCell ref="AB6:AN6"/>
    <mergeCell ref="AO6:AX6"/>
    <mergeCell ref="AY6:BC7"/>
    <mergeCell ref="BD6:BG6"/>
    <mergeCell ref="D7:D8"/>
    <mergeCell ref="E7:E8"/>
    <mergeCell ref="F7:F8"/>
    <mergeCell ref="G7:G8"/>
    <mergeCell ref="B3:AX3"/>
    <mergeCell ref="AS7:AT7"/>
    <mergeCell ref="AU7:AV7"/>
    <mergeCell ref="AW7:AX7"/>
    <mergeCell ref="A23:K23"/>
    <mergeCell ref="AF7:AH7"/>
    <mergeCell ref="AI7:AK7"/>
    <mergeCell ref="AL7:AN7"/>
    <mergeCell ref="AO7:AP7"/>
    <mergeCell ref="AQ7:AR7"/>
    <mergeCell ref="A5:A8"/>
    <mergeCell ref="B5:I5"/>
    <mergeCell ref="J5:J8"/>
    <mergeCell ref="K5:K8"/>
    <mergeCell ref="H7:H8"/>
    <mergeCell ref="L5:AX5"/>
  </mergeCells>
  <pageMargins left="0.23622047244094491" right="0.23622047244094491" top="0.74803149606299213" bottom="0.74803149606299213" header="0.31496062992125984" footer="0.31496062992125984"/>
  <pageSetup paperSize="9" scale="34" fitToHeight="6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Модернизация расчет</vt:lpstr>
      <vt:lpstr>'Модернизация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Владимировна Терехова</dc:creator>
  <cp:lastModifiedBy>Старостина Рузанна Левоновна</cp:lastModifiedBy>
  <cp:lastPrinted>2024-10-02T11:36:57Z</cp:lastPrinted>
  <dcterms:created xsi:type="dcterms:W3CDTF">2023-08-24T09:28:12Z</dcterms:created>
  <dcterms:modified xsi:type="dcterms:W3CDTF">2024-10-02T11:36:59Z</dcterms:modified>
</cp:coreProperties>
</file>